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465" windowHeight="49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8" i="1" l="1"/>
  <c r="J330" i="1"/>
  <c r="I330" i="1"/>
  <c r="H330" i="1"/>
  <c r="G330" i="1"/>
  <c r="F330" i="1"/>
  <c r="L229" i="1" l="1"/>
  <c r="L328" i="1"/>
  <c r="F328" i="1"/>
  <c r="J325" i="1"/>
  <c r="J328" i="1" s="1"/>
  <c r="I325" i="1"/>
  <c r="I328" i="1" s="1"/>
  <c r="H325" i="1"/>
  <c r="H328" i="1" s="1"/>
  <c r="G325" i="1"/>
  <c r="G328" i="1" s="1"/>
  <c r="L324" i="1"/>
  <c r="F324" i="1"/>
  <c r="J321" i="1"/>
  <c r="I321" i="1"/>
  <c r="H321" i="1"/>
  <c r="G321" i="1"/>
  <c r="J320" i="1"/>
  <c r="I320" i="1"/>
  <c r="H320" i="1"/>
  <c r="G320" i="1"/>
  <c r="J318" i="1"/>
  <c r="I318" i="1"/>
  <c r="H318" i="1"/>
  <c r="G318" i="1"/>
  <c r="J317" i="1"/>
  <c r="I317" i="1"/>
  <c r="H317" i="1"/>
  <c r="G317" i="1"/>
  <c r="J316" i="1"/>
  <c r="J324" i="1" s="1"/>
  <c r="I316" i="1"/>
  <c r="I324" i="1" s="1"/>
  <c r="H316" i="1"/>
  <c r="H324" i="1" s="1"/>
  <c r="G316" i="1"/>
  <c r="G324" i="1" s="1"/>
  <c r="L315" i="1"/>
  <c r="F315" i="1"/>
  <c r="J312" i="1"/>
  <c r="I312" i="1"/>
  <c r="H312" i="1"/>
  <c r="G312" i="1"/>
  <c r="J311" i="1"/>
  <c r="I311" i="1"/>
  <c r="H311" i="1"/>
  <c r="G311" i="1"/>
  <c r="J310" i="1"/>
  <c r="I310" i="1"/>
  <c r="H310" i="1"/>
  <c r="G310" i="1"/>
  <c r="J309" i="1"/>
  <c r="J315" i="1" s="1"/>
  <c r="J329" i="1" s="1"/>
  <c r="I309" i="1"/>
  <c r="H309" i="1"/>
  <c r="H315" i="1" s="1"/>
  <c r="G309" i="1"/>
  <c r="G315" i="1" s="1"/>
  <c r="L307" i="1"/>
  <c r="F307" i="1"/>
  <c r="J305" i="1"/>
  <c r="J307" i="1" s="1"/>
  <c r="I305" i="1"/>
  <c r="I307" i="1" s="1"/>
  <c r="H305" i="1"/>
  <c r="H307" i="1" s="1"/>
  <c r="G305" i="1"/>
  <c r="G307" i="1" s="1"/>
  <c r="L304" i="1"/>
  <c r="F304" i="1"/>
  <c r="J301" i="1"/>
  <c r="I301" i="1"/>
  <c r="H301" i="1"/>
  <c r="G301" i="1"/>
  <c r="J300" i="1"/>
  <c r="I300" i="1"/>
  <c r="H300" i="1"/>
  <c r="G300" i="1"/>
  <c r="J298" i="1"/>
  <c r="I298" i="1"/>
  <c r="H298" i="1"/>
  <c r="G298" i="1"/>
  <c r="J297" i="1"/>
  <c r="I297" i="1"/>
  <c r="H297" i="1"/>
  <c r="G297" i="1"/>
  <c r="J296" i="1"/>
  <c r="I296" i="1"/>
  <c r="H296" i="1"/>
  <c r="G296" i="1"/>
  <c r="J295" i="1"/>
  <c r="I295" i="1"/>
  <c r="H295" i="1"/>
  <c r="H304" i="1" s="1"/>
  <c r="G295" i="1"/>
  <c r="G304" i="1" s="1"/>
  <c r="L294" i="1"/>
  <c r="L308" i="1" s="1"/>
  <c r="F294" i="1"/>
  <c r="J292" i="1"/>
  <c r="I292" i="1"/>
  <c r="H292" i="1"/>
  <c r="G292" i="1"/>
  <c r="J291" i="1"/>
  <c r="I291" i="1"/>
  <c r="H291" i="1"/>
  <c r="G291" i="1"/>
  <c r="J289" i="1"/>
  <c r="I289" i="1"/>
  <c r="H289" i="1"/>
  <c r="G289" i="1"/>
  <c r="J288" i="1"/>
  <c r="J294" i="1" s="1"/>
  <c r="I288" i="1"/>
  <c r="I294" i="1" s="1"/>
  <c r="H288" i="1"/>
  <c r="H294" i="1" s="1"/>
  <c r="G288" i="1"/>
  <c r="G294" i="1" s="1"/>
  <c r="L286" i="1"/>
  <c r="F286" i="1"/>
  <c r="J283" i="1"/>
  <c r="J286" i="1" s="1"/>
  <c r="I283" i="1"/>
  <c r="I286" i="1" s="1"/>
  <c r="H283" i="1"/>
  <c r="H286" i="1" s="1"/>
  <c r="G283" i="1"/>
  <c r="G286" i="1" s="1"/>
  <c r="L282" i="1"/>
  <c r="F282" i="1"/>
  <c r="J279" i="1"/>
  <c r="I279" i="1"/>
  <c r="H279" i="1"/>
  <c r="G279" i="1"/>
  <c r="J278" i="1"/>
  <c r="I278" i="1"/>
  <c r="H278" i="1"/>
  <c r="G278" i="1"/>
  <c r="J276" i="1"/>
  <c r="I276" i="1"/>
  <c r="H276" i="1"/>
  <c r="G276" i="1"/>
  <c r="I275" i="1"/>
  <c r="H275" i="1"/>
  <c r="G275" i="1"/>
  <c r="J274" i="1"/>
  <c r="I274" i="1"/>
  <c r="H274" i="1"/>
  <c r="G274" i="1"/>
  <c r="J273" i="1"/>
  <c r="I273" i="1"/>
  <c r="H273" i="1"/>
  <c r="G273" i="1"/>
  <c r="L272" i="1"/>
  <c r="F272" i="1"/>
  <c r="J268" i="1"/>
  <c r="I268" i="1"/>
  <c r="H268" i="1"/>
  <c r="G268" i="1"/>
  <c r="J266" i="1"/>
  <c r="I266" i="1"/>
  <c r="H266" i="1"/>
  <c r="G266" i="1"/>
  <c r="J265" i="1"/>
  <c r="J272" i="1" s="1"/>
  <c r="I265" i="1"/>
  <c r="I272" i="1" s="1"/>
  <c r="H265" i="1"/>
  <c r="H272" i="1" s="1"/>
  <c r="G265" i="1"/>
  <c r="G272" i="1" s="1"/>
  <c r="L263" i="1"/>
  <c r="F263" i="1"/>
  <c r="J261" i="1"/>
  <c r="J263" i="1" s="1"/>
  <c r="I261" i="1"/>
  <c r="I263" i="1" s="1"/>
  <c r="H261" i="1"/>
  <c r="H263" i="1" s="1"/>
  <c r="G261" i="1"/>
  <c r="G263" i="1" s="1"/>
  <c r="L260" i="1"/>
  <c r="F260" i="1"/>
  <c r="J257" i="1"/>
  <c r="I257" i="1"/>
  <c r="H257" i="1"/>
  <c r="G257" i="1"/>
  <c r="J256" i="1"/>
  <c r="I256" i="1"/>
  <c r="H256" i="1"/>
  <c r="G256" i="1"/>
  <c r="J254" i="1"/>
  <c r="I254" i="1"/>
  <c r="H254" i="1"/>
  <c r="G254" i="1"/>
  <c r="J253" i="1"/>
  <c r="I253" i="1"/>
  <c r="H253" i="1"/>
  <c r="G253" i="1"/>
  <c r="J252" i="1"/>
  <c r="J260" i="1" s="1"/>
  <c r="I252" i="1"/>
  <c r="H252" i="1"/>
  <c r="G252" i="1"/>
  <c r="I251" i="1"/>
  <c r="H251" i="1"/>
  <c r="G251" i="1"/>
  <c r="L250" i="1"/>
  <c r="F250" i="1"/>
  <c r="J247" i="1"/>
  <c r="I247" i="1"/>
  <c r="H247" i="1"/>
  <c r="G247" i="1"/>
  <c r="J246" i="1"/>
  <c r="I246" i="1"/>
  <c r="H246" i="1"/>
  <c r="G246" i="1"/>
  <c r="J244" i="1"/>
  <c r="J250" i="1" s="1"/>
  <c r="I244" i="1"/>
  <c r="I250" i="1" s="1"/>
  <c r="H244" i="1"/>
  <c r="H250" i="1" s="1"/>
  <c r="G244" i="1"/>
  <c r="G250" i="1" s="1"/>
  <c r="F242" i="1"/>
  <c r="J239" i="1"/>
  <c r="J242" i="1" s="1"/>
  <c r="I239" i="1"/>
  <c r="I242" i="1" s="1"/>
  <c r="H239" i="1"/>
  <c r="H242" i="1" s="1"/>
  <c r="G239" i="1"/>
  <c r="G242" i="1" s="1"/>
  <c r="F238" i="1"/>
  <c r="J236" i="1"/>
  <c r="I236" i="1"/>
  <c r="H236" i="1"/>
  <c r="G236" i="1"/>
  <c r="J235" i="1"/>
  <c r="I235" i="1"/>
  <c r="H235" i="1"/>
  <c r="G235" i="1"/>
  <c r="J233" i="1"/>
  <c r="I233" i="1"/>
  <c r="H233" i="1"/>
  <c r="G233" i="1"/>
  <c r="J232" i="1"/>
  <c r="I232" i="1"/>
  <c r="H232" i="1"/>
  <c r="G232" i="1"/>
  <c r="J231" i="1"/>
  <c r="I231" i="1"/>
  <c r="H231" i="1"/>
  <c r="G231" i="1"/>
  <c r="J230" i="1"/>
  <c r="J238" i="1" s="1"/>
  <c r="I230" i="1"/>
  <c r="I238" i="1" s="1"/>
  <c r="H230" i="1"/>
  <c r="H238" i="1" s="1"/>
  <c r="G230" i="1"/>
  <c r="F229" i="1"/>
  <c r="J225" i="1"/>
  <c r="I225" i="1"/>
  <c r="H225" i="1"/>
  <c r="G225" i="1"/>
  <c r="J223" i="1"/>
  <c r="I223" i="1"/>
  <c r="H223" i="1"/>
  <c r="G223" i="1"/>
  <c r="J222" i="1"/>
  <c r="J229" i="1" s="1"/>
  <c r="I222" i="1"/>
  <c r="I229" i="1" s="1"/>
  <c r="H222" i="1"/>
  <c r="H229" i="1" s="1"/>
  <c r="G222" i="1"/>
  <c r="G229" i="1" s="1"/>
  <c r="J213" i="1"/>
  <c r="I213" i="1"/>
  <c r="H213" i="1"/>
  <c r="G213" i="1"/>
  <c r="J212" i="1"/>
  <c r="I212" i="1"/>
  <c r="H212" i="1"/>
  <c r="G212" i="1"/>
  <c r="J210" i="1"/>
  <c r="I210" i="1"/>
  <c r="H210" i="1"/>
  <c r="G210" i="1"/>
  <c r="J209" i="1"/>
  <c r="I209" i="1"/>
  <c r="H209" i="1"/>
  <c r="G209" i="1"/>
  <c r="J208" i="1"/>
  <c r="I208" i="1"/>
  <c r="H208" i="1"/>
  <c r="G208" i="1"/>
  <c r="J207" i="1"/>
  <c r="I207" i="1"/>
  <c r="H207" i="1"/>
  <c r="G207" i="1"/>
  <c r="J201" i="1"/>
  <c r="I201" i="1"/>
  <c r="H201" i="1"/>
  <c r="G201" i="1"/>
  <c r="J200" i="1"/>
  <c r="I200" i="1"/>
  <c r="H200" i="1"/>
  <c r="G200" i="1"/>
  <c r="J196" i="1"/>
  <c r="I196" i="1"/>
  <c r="H196" i="1"/>
  <c r="G196" i="1"/>
  <c r="J192" i="1"/>
  <c r="I192" i="1"/>
  <c r="H192" i="1"/>
  <c r="G192" i="1"/>
  <c r="J191" i="1"/>
  <c r="I191" i="1"/>
  <c r="H191" i="1"/>
  <c r="G191" i="1"/>
  <c r="J189" i="1"/>
  <c r="I189" i="1"/>
  <c r="H189" i="1"/>
  <c r="G189" i="1"/>
  <c r="I188" i="1"/>
  <c r="H188" i="1"/>
  <c r="G188" i="1"/>
  <c r="J187" i="1"/>
  <c r="I187" i="1"/>
  <c r="H187" i="1"/>
  <c r="G187" i="1"/>
  <c r="I180" i="1"/>
  <c r="H180" i="1"/>
  <c r="G180" i="1"/>
  <c r="I304" i="1" l="1"/>
  <c r="G282" i="1"/>
  <c r="I315" i="1"/>
  <c r="H243" i="1"/>
  <c r="F264" i="1"/>
  <c r="I260" i="1"/>
  <c r="H282" i="1"/>
  <c r="I308" i="1"/>
  <c r="F329" i="1"/>
  <c r="L287" i="1"/>
  <c r="F287" i="1"/>
  <c r="I282" i="1"/>
  <c r="I287" i="1" s="1"/>
  <c r="G238" i="1"/>
  <c r="G243" i="1" s="1"/>
  <c r="G260" i="1"/>
  <c r="G264" i="1" s="1"/>
  <c r="H287" i="1"/>
  <c r="J282" i="1"/>
  <c r="J287" i="1" s="1"/>
  <c r="L329" i="1"/>
  <c r="J304" i="1"/>
  <c r="J308" i="1" s="1"/>
  <c r="F243" i="1"/>
  <c r="J264" i="1"/>
  <c r="F308" i="1"/>
  <c r="L243" i="1"/>
  <c r="H260" i="1"/>
  <c r="H264" i="1" s="1"/>
  <c r="H329" i="1"/>
  <c r="I264" i="1"/>
  <c r="I243" i="1"/>
  <c r="L264" i="1"/>
  <c r="I329" i="1"/>
  <c r="J243" i="1"/>
  <c r="G308" i="1"/>
  <c r="G287" i="1"/>
  <c r="H308" i="1"/>
  <c r="G329" i="1"/>
  <c r="J175" i="1" l="1"/>
  <c r="I175" i="1"/>
  <c r="H175" i="1"/>
  <c r="G175" i="1"/>
  <c r="J170" i="1"/>
  <c r="I170" i="1"/>
  <c r="H170" i="1"/>
  <c r="G170" i="1"/>
  <c r="J171" i="1"/>
  <c r="I171" i="1"/>
  <c r="H171" i="1"/>
  <c r="G171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58" i="1"/>
  <c r="I158" i="1"/>
  <c r="H158" i="1"/>
  <c r="G158" i="1"/>
  <c r="J159" i="1"/>
  <c r="I159" i="1"/>
  <c r="H159" i="1"/>
  <c r="G159" i="1"/>
  <c r="J154" i="1"/>
  <c r="I154" i="1"/>
  <c r="H154" i="1"/>
  <c r="G154" i="1"/>
  <c r="J146" i="1"/>
  <c r="J145" i="1"/>
  <c r="J144" i="1"/>
  <c r="I145" i="1"/>
  <c r="H146" i="1"/>
  <c r="H145" i="1"/>
  <c r="J140" i="1" l="1"/>
  <c r="I140" i="1"/>
  <c r="H140" i="1"/>
  <c r="G140" i="1"/>
  <c r="J138" i="1"/>
  <c r="I138" i="1"/>
  <c r="H138" i="1"/>
  <c r="G138" i="1"/>
  <c r="J137" i="1"/>
  <c r="I137" i="1"/>
  <c r="H137" i="1"/>
  <c r="G137" i="1"/>
  <c r="J128" i="1"/>
  <c r="I128" i="1"/>
  <c r="H128" i="1"/>
  <c r="G128" i="1"/>
  <c r="J127" i="1"/>
  <c r="I127" i="1"/>
  <c r="H127" i="1"/>
  <c r="G127" i="1"/>
  <c r="J125" i="1"/>
  <c r="I125" i="1"/>
  <c r="H125" i="1"/>
  <c r="G125" i="1"/>
  <c r="J124" i="1"/>
  <c r="I124" i="1"/>
  <c r="H124" i="1"/>
  <c r="G124" i="1"/>
  <c r="I123" i="1"/>
  <c r="H123" i="1"/>
  <c r="G123" i="1"/>
  <c r="J122" i="1"/>
  <c r="I122" i="1"/>
  <c r="H122" i="1"/>
  <c r="G122" i="1"/>
  <c r="J115" i="1"/>
  <c r="H115" i="1"/>
  <c r="J116" i="1"/>
  <c r="I116" i="1"/>
  <c r="H116" i="1"/>
  <c r="G116" i="1"/>
  <c r="J97" i="1"/>
  <c r="I97" i="1"/>
  <c r="H97" i="1"/>
  <c r="G97" i="1"/>
  <c r="J110" i="1"/>
  <c r="I110" i="1"/>
  <c r="H110" i="1"/>
  <c r="G110" i="1"/>
  <c r="J106" i="1"/>
  <c r="I106" i="1"/>
  <c r="H106" i="1"/>
  <c r="G106" i="1"/>
  <c r="J105" i="1"/>
  <c r="I105" i="1"/>
  <c r="H105" i="1"/>
  <c r="G105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96" i="1"/>
  <c r="I96" i="1"/>
  <c r="H96" i="1"/>
  <c r="G96" i="1"/>
  <c r="J94" i="1"/>
  <c r="I94" i="1"/>
  <c r="H94" i="1"/>
  <c r="G94" i="1"/>
  <c r="J95" i="1"/>
  <c r="I95" i="1"/>
  <c r="H95" i="1"/>
  <c r="G95" i="1"/>
  <c r="F92" i="1"/>
  <c r="J90" i="1"/>
  <c r="J92" i="1" s="1"/>
  <c r="I90" i="1"/>
  <c r="I92" i="1" s="1"/>
  <c r="H90" i="1"/>
  <c r="H92" i="1" s="1"/>
  <c r="G90" i="1"/>
  <c r="G92" i="1" s="1"/>
  <c r="J86" i="1"/>
  <c r="I86" i="1"/>
  <c r="H86" i="1"/>
  <c r="G86" i="1"/>
  <c r="J85" i="1"/>
  <c r="I85" i="1"/>
  <c r="H85" i="1"/>
  <c r="G85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7" i="1"/>
  <c r="I77" i="1"/>
  <c r="H77" i="1"/>
  <c r="G77" i="1"/>
  <c r="J76" i="1"/>
  <c r="I76" i="1"/>
  <c r="H76" i="1"/>
  <c r="G76" i="1"/>
  <c r="J74" i="1"/>
  <c r="I74" i="1"/>
  <c r="H74" i="1"/>
  <c r="G74" i="1"/>
  <c r="J73" i="1"/>
  <c r="I73" i="1"/>
  <c r="H73" i="1"/>
  <c r="G73" i="1"/>
  <c r="J68" i="1"/>
  <c r="I68" i="1"/>
  <c r="H68" i="1"/>
  <c r="G68" i="1"/>
  <c r="J64" i="1"/>
  <c r="I64" i="1"/>
  <c r="H64" i="1"/>
  <c r="G64" i="1"/>
  <c r="J63" i="1"/>
  <c r="I63" i="1"/>
  <c r="H63" i="1"/>
  <c r="G63" i="1"/>
  <c r="J61" i="1"/>
  <c r="I61" i="1"/>
  <c r="H61" i="1"/>
  <c r="G61" i="1"/>
  <c r="I60" i="1"/>
  <c r="H60" i="1"/>
  <c r="G60" i="1"/>
  <c r="J59" i="1"/>
  <c r="I59" i="1"/>
  <c r="H59" i="1"/>
  <c r="G59" i="1"/>
  <c r="J58" i="1"/>
  <c r="I58" i="1"/>
  <c r="H58" i="1"/>
  <c r="G58" i="1"/>
  <c r="J53" i="1"/>
  <c r="I53" i="1"/>
  <c r="H53" i="1"/>
  <c r="G53" i="1"/>
  <c r="J51" i="1"/>
  <c r="I51" i="1"/>
  <c r="H51" i="1"/>
  <c r="G51" i="1"/>
  <c r="J50" i="1"/>
  <c r="I50" i="1"/>
  <c r="H50" i="1"/>
  <c r="G50" i="1"/>
  <c r="J46" i="1"/>
  <c r="I46" i="1"/>
  <c r="H46" i="1"/>
  <c r="G46" i="1"/>
  <c r="J42" i="1"/>
  <c r="I42" i="1"/>
  <c r="H42" i="1"/>
  <c r="G42" i="1"/>
  <c r="J41" i="1"/>
  <c r="I41" i="1"/>
  <c r="H41" i="1"/>
  <c r="G41" i="1"/>
  <c r="J39" i="1"/>
  <c r="I39" i="1"/>
  <c r="H39" i="1"/>
  <c r="G39" i="1"/>
  <c r="J38" i="1"/>
  <c r="I38" i="1"/>
  <c r="H38" i="1"/>
  <c r="G38" i="1"/>
  <c r="J37" i="1"/>
  <c r="I37" i="1"/>
  <c r="H37" i="1"/>
  <c r="G37" i="1"/>
  <c r="I36" i="1"/>
  <c r="H36" i="1"/>
  <c r="G36" i="1"/>
  <c r="J32" i="1"/>
  <c r="I32" i="1"/>
  <c r="H32" i="1"/>
  <c r="G32" i="1"/>
  <c r="J31" i="1"/>
  <c r="I31" i="1"/>
  <c r="H31" i="1"/>
  <c r="G31" i="1"/>
  <c r="J29" i="1"/>
  <c r="I29" i="1"/>
  <c r="H29" i="1"/>
  <c r="G29" i="1"/>
  <c r="J24" i="1"/>
  <c r="I24" i="1"/>
  <c r="H24" i="1"/>
  <c r="G24" i="1"/>
  <c r="J9" i="1"/>
  <c r="I9" i="1"/>
  <c r="H9" i="1"/>
  <c r="G9" i="1"/>
  <c r="J7" i="1"/>
  <c r="I7" i="1"/>
  <c r="H7" i="1"/>
  <c r="G7" i="1"/>
  <c r="J6" i="1"/>
  <c r="I6" i="1"/>
  <c r="H6" i="1"/>
  <c r="G6" i="1"/>
  <c r="J20" i="1"/>
  <c r="I20" i="1"/>
  <c r="H20" i="1"/>
  <c r="G20" i="1"/>
  <c r="J19" i="1"/>
  <c r="I19" i="1"/>
  <c r="H19" i="1"/>
  <c r="G19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L23" i="1" l="1"/>
  <c r="L13" i="1"/>
  <c r="F220" i="1" l="1"/>
  <c r="J219" i="1"/>
  <c r="I219" i="1"/>
  <c r="H219" i="1"/>
  <c r="G219" i="1"/>
  <c r="J217" i="1"/>
  <c r="J220" i="1" s="1"/>
  <c r="I217" i="1"/>
  <c r="I220" i="1" s="1"/>
  <c r="H217" i="1"/>
  <c r="H220" i="1" s="1"/>
  <c r="G217" i="1"/>
  <c r="J184" i="1"/>
  <c r="I184" i="1"/>
  <c r="H184" i="1"/>
  <c r="G184" i="1"/>
  <c r="J183" i="1"/>
  <c r="I183" i="1"/>
  <c r="H183" i="1"/>
  <c r="G183" i="1"/>
  <c r="F178" i="1"/>
  <c r="J177" i="1"/>
  <c r="J178" i="1" s="1"/>
  <c r="I177" i="1"/>
  <c r="I178" i="1" s="1"/>
  <c r="H177" i="1"/>
  <c r="G177" i="1"/>
  <c r="G178" i="1" s="1"/>
  <c r="H178" i="1"/>
  <c r="J161" i="1"/>
  <c r="I161" i="1"/>
  <c r="H161" i="1"/>
  <c r="G161" i="1"/>
  <c r="G220" i="1" l="1"/>
  <c r="J150" i="1"/>
  <c r="I150" i="1"/>
  <c r="H150" i="1"/>
  <c r="G150" i="1"/>
  <c r="J149" i="1"/>
  <c r="I149" i="1"/>
  <c r="H149" i="1"/>
  <c r="G149" i="1"/>
  <c r="J147" i="1"/>
  <c r="I147" i="1"/>
  <c r="H147" i="1"/>
  <c r="G147" i="1"/>
  <c r="I146" i="1"/>
  <c r="G146" i="1"/>
  <c r="G145" i="1"/>
  <c r="I144" i="1"/>
  <c r="H144" i="1"/>
  <c r="G144" i="1"/>
  <c r="F135" i="1"/>
  <c r="J134" i="1"/>
  <c r="I134" i="1"/>
  <c r="H134" i="1"/>
  <c r="G134" i="1"/>
  <c r="J132" i="1"/>
  <c r="J135" i="1" s="1"/>
  <c r="I132" i="1"/>
  <c r="I135" i="1" s="1"/>
  <c r="H132" i="1"/>
  <c r="H135" i="1" s="1"/>
  <c r="G132" i="1"/>
  <c r="G135" i="1" s="1"/>
  <c r="J118" i="1"/>
  <c r="I118" i="1"/>
  <c r="H118" i="1"/>
  <c r="G118" i="1"/>
  <c r="I115" i="1"/>
  <c r="G115" i="1"/>
  <c r="G113" i="1"/>
  <c r="H113" i="1"/>
  <c r="I113" i="1"/>
  <c r="J113" i="1"/>
  <c r="F113" i="1"/>
  <c r="G71" i="1"/>
  <c r="H71" i="1"/>
  <c r="I71" i="1"/>
  <c r="J71" i="1"/>
  <c r="F71" i="1"/>
  <c r="G27" i="1"/>
  <c r="H27" i="1"/>
  <c r="I27" i="1"/>
  <c r="J27" i="1"/>
  <c r="F27" i="1"/>
  <c r="L220" i="1" l="1"/>
  <c r="L216" i="1"/>
  <c r="J216" i="1"/>
  <c r="I216" i="1"/>
  <c r="H216" i="1"/>
  <c r="G216" i="1"/>
  <c r="F216" i="1"/>
  <c r="L206" i="1"/>
  <c r="J206" i="1"/>
  <c r="I206" i="1"/>
  <c r="H206" i="1"/>
  <c r="H221" i="1" s="1"/>
  <c r="G206" i="1"/>
  <c r="F206" i="1"/>
  <c r="L198" i="1"/>
  <c r="J198" i="1"/>
  <c r="I198" i="1"/>
  <c r="H198" i="1"/>
  <c r="G198" i="1"/>
  <c r="F198" i="1"/>
  <c r="L195" i="1"/>
  <c r="J195" i="1"/>
  <c r="I195" i="1"/>
  <c r="H195" i="1"/>
  <c r="G195" i="1"/>
  <c r="F195" i="1"/>
  <c r="L186" i="1"/>
  <c r="J186" i="1"/>
  <c r="I186" i="1"/>
  <c r="H186" i="1"/>
  <c r="G186" i="1"/>
  <c r="F186" i="1"/>
  <c r="L174" i="1"/>
  <c r="J174" i="1"/>
  <c r="I174" i="1"/>
  <c r="H174" i="1"/>
  <c r="G174" i="1"/>
  <c r="F174" i="1"/>
  <c r="L164" i="1"/>
  <c r="J164" i="1"/>
  <c r="I164" i="1"/>
  <c r="H164" i="1"/>
  <c r="G164" i="1"/>
  <c r="F164" i="1"/>
  <c r="L156" i="1"/>
  <c r="J156" i="1"/>
  <c r="I156" i="1"/>
  <c r="H156" i="1"/>
  <c r="G156" i="1"/>
  <c r="F156" i="1"/>
  <c r="L153" i="1"/>
  <c r="J153" i="1"/>
  <c r="I153" i="1"/>
  <c r="H153" i="1"/>
  <c r="G153" i="1"/>
  <c r="F153" i="1"/>
  <c r="L143" i="1"/>
  <c r="J143" i="1"/>
  <c r="I143" i="1"/>
  <c r="H143" i="1"/>
  <c r="G143" i="1"/>
  <c r="F143" i="1"/>
  <c r="L135" i="1"/>
  <c r="L131" i="1"/>
  <c r="J131" i="1"/>
  <c r="I131" i="1"/>
  <c r="H131" i="1"/>
  <c r="G131" i="1"/>
  <c r="F131" i="1"/>
  <c r="L121" i="1"/>
  <c r="J121" i="1"/>
  <c r="I121" i="1"/>
  <c r="H121" i="1"/>
  <c r="G121" i="1"/>
  <c r="F121" i="1"/>
  <c r="L113" i="1"/>
  <c r="L109" i="1"/>
  <c r="J109" i="1"/>
  <c r="I109" i="1"/>
  <c r="H109" i="1"/>
  <c r="G109" i="1"/>
  <c r="F109" i="1"/>
  <c r="L100" i="1"/>
  <c r="J100" i="1"/>
  <c r="I100" i="1"/>
  <c r="H100" i="1"/>
  <c r="G100" i="1"/>
  <c r="F100" i="1"/>
  <c r="L92" i="1"/>
  <c r="L89" i="1"/>
  <c r="J89" i="1"/>
  <c r="I89" i="1"/>
  <c r="H89" i="1"/>
  <c r="G89" i="1"/>
  <c r="F89" i="1"/>
  <c r="L79" i="1"/>
  <c r="J79" i="1"/>
  <c r="I79" i="1"/>
  <c r="H79" i="1"/>
  <c r="G79" i="1"/>
  <c r="F79" i="1"/>
  <c r="L71" i="1"/>
  <c r="L67" i="1"/>
  <c r="J67" i="1"/>
  <c r="I67" i="1"/>
  <c r="H67" i="1"/>
  <c r="G67" i="1"/>
  <c r="F67" i="1"/>
  <c r="L57" i="1"/>
  <c r="J57" i="1"/>
  <c r="I57" i="1"/>
  <c r="H57" i="1"/>
  <c r="G57" i="1"/>
  <c r="F57" i="1"/>
  <c r="L48" i="1"/>
  <c r="J48" i="1"/>
  <c r="I48" i="1"/>
  <c r="H48" i="1"/>
  <c r="G48" i="1"/>
  <c r="F48" i="1"/>
  <c r="L45" i="1"/>
  <c r="J45" i="1"/>
  <c r="I45" i="1"/>
  <c r="H45" i="1"/>
  <c r="G45" i="1"/>
  <c r="F45" i="1"/>
  <c r="L35" i="1"/>
  <c r="J35" i="1"/>
  <c r="I35" i="1"/>
  <c r="H35" i="1"/>
  <c r="G35" i="1"/>
  <c r="F35" i="1"/>
  <c r="J23" i="1"/>
  <c r="I23" i="1"/>
  <c r="H23" i="1"/>
  <c r="G23" i="1"/>
  <c r="F23" i="1"/>
  <c r="J13" i="1"/>
  <c r="I13" i="1"/>
  <c r="H13" i="1"/>
  <c r="G13" i="1"/>
  <c r="F13" i="1"/>
  <c r="J221" i="1" l="1"/>
  <c r="F221" i="1"/>
  <c r="G221" i="1"/>
  <c r="L221" i="1"/>
  <c r="F136" i="1"/>
  <c r="J136" i="1"/>
  <c r="G179" i="1"/>
  <c r="L179" i="1"/>
  <c r="F179" i="1"/>
  <c r="J179" i="1"/>
  <c r="H179" i="1"/>
  <c r="G136" i="1"/>
  <c r="H136" i="1"/>
  <c r="F93" i="1"/>
  <c r="J93" i="1"/>
  <c r="H93" i="1"/>
  <c r="F49" i="1"/>
  <c r="J49" i="1"/>
  <c r="G93" i="1"/>
  <c r="L72" i="1"/>
  <c r="G114" i="1"/>
  <c r="L114" i="1"/>
  <c r="G157" i="1"/>
  <c r="L157" i="1"/>
  <c r="H49" i="1"/>
  <c r="L93" i="1"/>
  <c r="L136" i="1"/>
  <c r="G28" i="1"/>
  <c r="L28" i="1"/>
  <c r="G49" i="1"/>
  <c r="L49" i="1"/>
  <c r="G72" i="1"/>
  <c r="G199" i="1"/>
  <c r="I49" i="1"/>
  <c r="I93" i="1"/>
  <c r="I136" i="1"/>
  <c r="I179" i="1"/>
  <c r="I221" i="1"/>
  <c r="F72" i="1"/>
  <c r="J72" i="1"/>
  <c r="H72" i="1"/>
  <c r="F114" i="1"/>
  <c r="J114" i="1"/>
  <c r="H114" i="1"/>
  <c r="F157" i="1"/>
  <c r="J157" i="1"/>
  <c r="H157" i="1"/>
  <c r="F199" i="1"/>
  <c r="J199" i="1"/>
  <c r="H199" i="1"/>
  <c r="I72" i="1"/>
  <c r="I114" i="1"/>
  <c r="I157" i="1"/>
  <c r="L199" i="1"/>
  <c r="I199" i="1"/>
  <c r="J28" i="1"/>
  <c r="F28" i="1"/>
  <c r="I28" i="1"/>
  <c r="H28" i="1"/>
  <c r="L330" i="1" l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<sst xmlns="http://schemas.openxmlformats.org/spreadsheetml/2006/main" count="1367" uniqueCount="193">
  <si>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</si>
  <si>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</si>
  <si>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</si>
  <si>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</si>
  <si>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</si>
  <si>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</si>
  <si>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</si>
  <si>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</si>
  <si>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</si>
  <si>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</si>
  <si>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</si>
  <si>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</si>
  <si>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</si>
  <si>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</si>
  <si>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</si>
  <si>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</si>
  <si>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</si>
  <si>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</si>
  <si>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</si>
  <si>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</si>
  <si>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</si>
  <si>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</si>
  <si>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</si>
  <si>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</si>
  <si>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</si>
  <si>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</si>
  <si>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</si>
  <si>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</si>
  <si>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</si>
  <si>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</si>
  <si>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</si>
  <si>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</si>
  <si>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</si>
  <si>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</si>
  <si>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</si>
  <si>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</si>
  <si>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</si>
  <si>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</si>
  <si>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</si>
  <si>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</si>
  <si>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</si>
  <si>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</si>
  <si>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Шалапугина Н.В.</t>
  </si>
  <si>
    <t>Кофейный напиток на молоке</t>
  </si>
  <si>
    <t>Бутерброд с сыром</t>
  </si>
  <si>
    <t>Хлеб ржано-пшеничный</t>
  </si>
  <si>
    <t>пром</t>
  </si>
  <si>
    <t>Салат из белокачанной капусты с морковью и растительным маслом</t>
  </si>
  <si>
    <t xml:space="preserve">Суп картофельный с бобовыми и мясом </t>
  </si>
  <si>
    <t>Биточки мясные паровые</t>
  </si>
  <si>
    <t>Рис, припушенный с овощами</t>
  </si>
  <si>
    <t>Компот из кураги и яблок</t>
  </si>
  <si>
    <t>Хлеб пшеничный</t>
  </si>
  <si>
    <t>16/81</t>
  </si>
  <si>
    <t>16/2</t>
  </si>
  <si>
    <t>38/3</t>
  </si>
  <si>
    <t>38/2</t>
  </si>
  <si>
    <t>44206</t>
  </si>
  <si>
    <t>Компот из сухофруктов</t>
  </si>
  <si>
    <t>Шаньга со сметаной</t>
  </si>
  <si>
    <t>Фрукты</t>
  </si>
  <si>
    <t>44357</t>
  </si>
  <si>
    <t>26/12</t>
  </si>
  <si>
    <t>Макаронные изделия отварные с сыром</t>
  </si>
  <si>
    <t>Напиток каркаде</t>
  </si>
  <si>
    <t>Бутерброд с маслом</t>
  </si>
  <si>
    <t>Салат из отварного картофеля с зеленым горошком и растительным маслом</t>
  </si>
  <si>
    <t>Печень в молочном соусе</t>
  </si>
  <si>
    <t>Каша гречневая рассыпчатая</t>
  </si>
  <si>
    <t xml:space="preserve">Щи с капустой, картофелем, сметаной и мясом </t>
  </si>
  <si>
    <t>Компот из ягод вишни</t>
  </si>
  <si>
    <t>47/3</t>
  </si>
  <si>
    <t>ттк</t>
  </si>
  <si>
    <t>44209</t>
  </si>
  <si>
    <t>42/1</t>
  </si>
  <si>
    <t>44379</t>
  </si>
  <si>
    <t>44508</t>
  </si>
  <si>
    <t>39/3</t>
  </si>
  <si>
    <t>44387</t>
  </si>
  <si>
    <t>Слойка с творогом</t>
  </si>
  <si>
    <t>Фруктовый напиток</t>
  </si>
  <si>
    <t>44382/2</t>
  </si>
  <si>
    <t>44265</t>
  </si>
  <si>
    <t>Каша рисовая молочная с маслом сливочным</t>
  </si>
  <si>
    <t>Бутерброд с маслом и сыром</t>
  </si>
  <si>
    <t>Какао на молоке</t>
  </si>
  <si>
    <t>Салат из отварной свеклы с растительным маслом</t>
  </si>
  <si>
    <t>Тефтели рыбные с рисом в соусе</t>
  </si>
  <si>
    <t>Картофельное пюре</t>
  </si>
  <si>
    <t>Кисель из ягод</t>
  </si>
  <si>
    <t>16/4</t>
  </si>
  <si>
    <t>44268</t>
  </si>
  <si>
    <t>36/10</t>
  </si>
  <si>
    <t>32/1</t>
  </si>
  <si>
    <t>44502</t>
  </si>
  <si>
    <t>18/7</t>
  </si>
  <si>
    <t>44258</t>
  </si>
  <si>
    <t>18/10</t>
  </si>
  <si>
    <t xml:space="preserve">Каша молочная ассорти с маслом сливочным </t>
  </si>
  <si>
    <t xml:space="preserve">Рассольник с крупой и сметаной и мясом </t>
  </si>
  <si>
    <t>Манник</t>
  </si>
  <si>
    <t>23/12</t>
  </si>
  <si>
    <t xml:space="preserve">Омлет натуральный </t>
  </si>
  <si>
    <t>Чай с сахаром</t>
  </si>
  <si>
    <t>Салат из свежих овощей с растительным маслом</t>
  </si>
  <si>
    <t>Бедро или голень отварные</t>
  </si>
  <si>
    <t>Макароны отварные</t>
  </si>
  <si>
    <t>Компот из свежих плодов (яблок)</t>
  </si>
  <si>
    <t>Итого за прием</t>
  </si>
  <si>
    <t xml:space="preserve">Борщ из капусты с картофелем, сметаной и мясом </t>
  </si>
  <si>
    <t>Компот из свежих плодов</t>
  </si>
  <si>
    <t>Булочка Исетская с крошкой</t>
  </si>
  <si>
    <t>Напиток "Золотой шар"</t>
  </si>
  <si>
    <t>44233</t>
  </si>
  <si>
    <t>27/10</t>
  </si>
  <si>
    <t>90</t>
  </si>
  <si>
    <t>44257</t>
  </si>
  <si>
    <t>4232</t>
  </si>
  <si>
    <t>46/3</t>
  </si>
  <si>
    <t>37/10</t>
  </si>
  <si>
    <t>Суп молочный с лапшой</t>
  </si>
  <si>
    <t>Салат из св. капусты с кукурузой, луком и растительным маслом</t>
  </si>
  <si>
    <t>Суп овощной со сметаной</t>
  </si>
  <si>
    <t xml:space="preserve">Плов </t>
  </si>
  <si>
    <t>Напиток из шиповника</t>
  </si>
  <si>
    <t>Булочка с повидлом</t>
  </si>
  <si>
    <t>24/2</t>
  </si>
  <si>
    <t>44317</t>
  </si>
  <si>
    <t>20/2</t>
  </si>
  <si>
    <t>44294</t>
  </si>
  <si>
    <t>17/12</t>
  </si>
  <si>
    <t>Каша молочная пшенная с маслом сливочным</t>
  </si>
  <si>
    <t>Огурец свежий с зеленью и растительным маслом</t>
  </si>
  <si>
    <t xml:space="preserve">Суп картофельный с макаронными изделиями и мясом </t>
  </si>
  <si>
    <t>Котлета куриная</t>
  </si>
  <si>
    <t>Капуста тушеная</t>
  </si>
  <si>
    <t>Ватрушка с помадкой</t>
  </si>
  <si>
    <t>44504</t>
  </si>
  <si>
    <t>1/3</t>
  </si>
  <si>
    <t>18/2</t>
  </si>
  <si>
    <t>59/8</t>
  </si>
  <si>
    <t>44533</t>
  </si>
  <si>
    <t>44359</t>
  </si>
  <si>
    <t>Запеканка из творога с рисом со сгущенным молоком</t>
  </si>
  <si>
    <t>Салат из свеклы с соленым огурцом</t>
  </si>
  <si>
    <t>Суп картофельный с крупой и рыбной консервой</t>
  </si>
  <si>
    <t>Соус "Болоньезе"</t>
  </si>
  <si>
    <t>4443/1</t>
  </si>
  <si>
    <t>35/1</t>
  </si>
  <si>
    <t>37/2</t>
  </si>
  <si>
    <t>44538/1</t>
  </si>
  <si>
    <t>Каша ячневая с маслом сливочным</t>
  </si>
  <si>
    <t>Салат из св капусты с св огурцом с растительным маслом</t>
  </si>
  <si>
    <t>Гренки</t>
  </si>
  <si>
    <t>Суп-пюре из картофеля с гренками</t>
  </si>
  <si>
    <t>15/4</t>
  </si>
  <si>
    <t>44240</t>
  </si>
  <si>
    <t>44409</t>
  </si>
  <si>
    <t>29/2</t>
  </si>
  <si>
    <t>44236</t>
  </si>
  <si>
    <t>40/2</t>
  </si>
  <si>
    <t>Суп молочный с крупой</t>
  </si>
  <si>
    <t>Яйцо отварное</t>
  </si>
  <si>
    <t>6/12</t>
  </si>
  <si>
    <t>26/2</t>
  </si>
  <si>
    <t>44202</t>
  </si>
  <si>
    <t>Помидор свежий с зеленью и растительным маслом</t>
  </si>
  <si>
    <t xml:space="preserve">Суп крестьянский с крупой, сметаной и мясом </t>
  </si>
  <si>
    <t>Компот из яблок и изюма</t>
  </si>
  <si>
    <t>Мясо тушеное с овощами</t>
  </si>
  <si>
    <t>Каша пшеничная молочная с маслом сливочным</t>
  </si>
  <si>
    <t>Винегрет овощной</t>
  </si>
  <si>
    <t xml:space="preserve">Суп-лапша на куринном бульоне </t>
  </si>
  <si>
    <t xml:space="preserve">Компот из кураги </t>
  </si>
  <si>
    <t>Ватрушка с сыром</t>
  </si>
  <si>
    <t>2/1</t>
  </si>
  <si>
    <t>44263</t>
  </si>
  <si>
    <t>44296</t>
  </si>
  <si>
    <t>3210</t>
  </si>
  <si>
    <t>72</t>
  </si>
  <si>
    <t>22/2</t>
  </si>
  <si>
    <t>16</t>
  </si>
  <si>
    <t>445</t>
  </si>
  <si>
    <t>Зеленый горошек конс. с растительным маслом</t>
  </si>
  <si>
    <t>32/10</t>
  </si>
  <si>
    <t>Кисель</t>
  </si>
  <si>
    <t>Слойка с повидлом</t>
  </si>
  <si>
    <t>Мясо кур отварное в соусе</t>
  </si>
  <si>
    <t>Чай с молоком</t>
  </si>
  <si>
    <t>31/10</t>
  </si>
  <si>
    <t>Булочка Исетская с сахаром</t>
  </si>
  <si>
    <t xml:space="preserve">Чай каркаде с сахаром </t>
  </si>
  <si>
    <t>27/11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</si>
</sst>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2" fontId="8" fillId="6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0" fontId="5" fillId="0" borderId="1" xfId="0" applyFont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wrapText="1"/>
    </xf>
    <xf numFmtId="0" fontId="0" fillId="0" borderId="1" xfId="0" applyBorder="1" applyAlignment="1" applyProtection="1"/>
    <xf numFmtId="0" fontId="0" fillId="3" borderId="1" xfId="0" applyFill="1" applyBorder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1" xfId="0" applyBorder="1" applyAlignment="1"/>
    <xf numFmtId="0" fontId="0" fillId="3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5" fillId="0" borderId="1" xfId="0" applyFont="1" applyBorder="1" applyAlignment="1"/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/>
    <xf numFmtId="0" fontId="5" fillId="3" borderId="1" xfId="0" applyFont="1" applyFill="1" applyBorder="1" applyAlignment="1" applyProtection="1"/>
    <xf numFmtId="0" fontId="4" fillId="3" borderId="1" xfId="0" applyFont="1" applyFill="1" applyBorder="1" applyAlignment="1" applyProtection="1"/>
    <xf numFmtId="0" fontId="8" fillId="6" borderId="1" xfId="0" applyFont="1" applyFill="1" applyBorder="1" applyAlignment="1">
      <alignment horizontal="left" wrapText="1"/>
    </xf>
    <xf numFmtId="2" fontId="8" fillId="6" borderId="1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protection locked="0"/>
    </xf>
    <xf numFmtId="2" fontId="8" fillId="6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 applyProtection="1"/>
    <xf numFmtId="0" fontId="6" fillId="0" borderId="1" xfId="0" applyFont="1" applyBorder="1" applyAlignment="1" applyProtection="1"/>
    <xf numFmtId="0" fontId="6" fillId="3" borderId="1" xfId="0" applyFont="1" applyFill="1" applyBorder="1" applyAlignment="1" applyProtection="1"/>
    <xf numFmtId="0" fontId="4" fillId="0" borderId="1" xfId="0" applyFont="1" applyFill="1" applyBorder="1" applyAlignment="1" applyProtection="1">
      <protection locked="0"/>
    </xf>
    <xf numFmtId="2" fontId="0" fillId="0" borderId="0" xfId="0" applyNumberFormat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5" fillId="0" borderId="1" xfId="0" applyNumberFormat="1" applyFont="1" applyBorder="1" applyAlignment="1" applyProtection="1">
      <alignment horizontal="right" wrapText="1"/>
    </xf>
    <xf numFmtId="2" fontId="5" fillId="0" borderId="1" xfId="0" applyNumberFormat="1" applyFont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right"/>
    </xf>
    <xf numFmtId="2" fontId="4" fillId="6" borderId="1" xfId="0" applyNumberFormat="1" applyFont="1" applyFill="1" applyBorder="1" applyAlignment="1" applyProtection="1">
      <alignment horizontal="right"/>
      <protection locked="0"/>
    </xf>
    <xf numFmtId="2" fontId="6" fillId="5" borderId="1" xfId="0" applyNumberFormat="1" applyFont="1" applyFill="1" applyBorder="1" applyAlignment="1" applyProtection="1">
      <alignment horizontal="right"/>
    </xf>
    <xf numFmtId="2" fontId="0" fillId="6" borderId="1" xfId="0" applyNumberFormat="1" applyFill="1" applyBorder="1" applyAlignment="1" applyProtection="1">
      <alignment horizontal="right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2" fontId="8" fillId="6" borderId="3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 applyProtection="1">
      <alignment horizontal="left" wrapText="1"/>
      <protection locked="0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4" borderId="1" xfId="0" applyNumberFormat="1" applyFont="1" applyFill="1" applyBorder="1" applyAlignment="1" applyProtection="1">
      <alignment horizontal="center"/>
    </xf>
    <xf numFmtId="49" fontId="6" fillId="5" borderId="1" xfId="0" applyNumberFormat="1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wrapText="1"/>
    </xf>
    <xf numFmtId="1" fontId="0" fillId="2" borderId="2" xfId="0" applyNumberFormat="1" applyFill="1" applyBorder="1" applyAlignment="1" applyProtection="1">
      <protection locked="0"/>
    </xf>
    <xf numFmtId="1" fontId="5" fillId="0" borderId="2" xfId="0" applyNumberFormat="1" applyFont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4" borderId="2" xfId="0" applyFont="1" applyFill="1" applyBorder="1" applyAlignment="1" applyProtection="1"/>
    <xf numFmtId="0" fontId="6" fillId="5" borderId="2" xfId="0" applyFont="1" applyFill="1" applyBorder="1" applyAlignment="1" applyProtection="1"/>
    <xf numFmtId="2" fontId="3" fillId="6" borderId="1" xfId="1" applyNumberFormat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4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6" borderId="1" xfId="0" applyFont="1" applyFill="1" applyBorder="1" applyAlignment="1" applyProtection="1">
      <alignment horizontal="left" wrapText="1"/>
      <protection locked="0"/>
    </xf>
    <xf numFmtId="0" fontId="6" fillId="5" borderId="1" xfId="0" applyFont="1" applyFill="1" applyBorder="1" applyAlignment="1" applyProtection="1">
      <alignment horizontal="left" wrapText="1"/>
    </xf>
    <xf numFmtId="2" fontId="8" fillId="6" borderId="1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Alignment="1"/>
    <xf numFmtId="2" fontId="5" fillId="0" borderId="1" xfId="0" applyNumberFormat="1" applyFont="1" applyBorder="1" applyAlignment="1" applyProtection="1">
      <alignment wrapText="1"/>
    </xf>
    <xf numFmtId="2" fontId="3" fillId="6" borderId="1" xfId="0" applyNumberFormat="1" applyFont="1" applyFill="1" applyBorder="1" applyAlignment="1" applyProtection="1">
      <protection locked="0"/>
    </xf>
    <xf numFmtId="2" fontId="8" fillId="6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 applyProtection="1">
      <protection locked="0"/>
    </xf>
    <xf numFmtId="2" fontId="5" fillId="0" borderId="1" xfId="0" applyNumberFormat="1" applyFont="1" applyBorder="1" applyAlignment="1" applyProtection="1">
      <protection locked="0"/>
    </xf>
    <xf numFmtId="2" fontId="0" fillId="6" borderId="1" xfId="0" applyNumberFormat="1" applyFill="1" applyBorder="1" applyAlignment="1" applyProtection="1">
      <protection locked="0"/>
    </xf>
    <xf numFmtId="2" fontId="5" fillId="4" borderId="1" xfId="0" applyNumberFormat="1" applyFont="1" applyFill="1" applyBorder="1" applyAlignment="1" applyProtection="1"/>
    <xf numFmtId="2" fontId="8" fillId="6" borderId="1" xfId="0" applyNumberFormat="1" applyFont="1" applyFill="1" applyBorder="1" applyAlignment="1"/>
    <xf numFmtId="2" fontId="4" fillId="6" borderId="1" xfId="0" applyNumberFormat="1" applyFont="1" applyFill="1" applyBorder="1" applyAlignment="1" applyProtection="1">
      <protection locked="0"/>
    </xf>
    <xf numFmtId="2" fontId="6" fillId="5" borderId="1" xfId="0" applyNumberFormat="1" applyFont="1" applyFill="1" applyBorder="1" applyAlignment="1" applyProtection="1"/>
    <xf numFmtId="2" fontId="3" fillId="6" borderId="1" xfId="1" applyNumberFormat="1" applyFont="1" applyFill="1" applyBorder="1" applyAlignment="1">
      <alignment horizontal="right"/>
    </xf>
    <xf numFmtId="2" fontId="3" fillId="6" borderId="1" xfId="1" applyNumberFormat="1" applyFont="1" applyFill="1" applyBorder="1" applyAlignment="1"/>
    <xf numFmtId="2" fontId="3" fillId="6" borderId="1" xfId="1" applyNumberFormat="1" applyFont="1" applyFill="1" applyBorder="1" applyAlignment="1">
      <alignment horizontal="right" wrapText="1"/>
    </xf>
    <xf numFmtId="2" fontId="3" fillId="6" borderId="1" xfId="1" applyNumberFormat="1" applyFont="1" applyFill="1" applyBorder="1" applyAlignment="1">
      <alignment wrapText="1"/>
    </xf>
    <xf numFmtId="2" fontId="3" fillId="6" borderId="1" xfId="0" applyNumberFormat="1" applyFont="1" applyFill="1" applyBorder="1" applyAlignment="1"/>
    <xf numFmtId="2" fontId="3" fillId="6" borderId="1" xfId="0" applyNumberFormat="1" applyFont="1" applyFill="1" applyBorder="1" applyAlignment="1">
      <alignment horizontal="right"/>
    </xf>
    <xf numFmtId="2" fontId="8" fillId="6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right" wrapText="1"/>
    </xf>
    <xf numFmtId="2" fontId="8" fillId="6" borderId="1" xfId="0" applyNumberFormat="1" applyFont="1" applyFill="1" applyBorder="1" applyAlignment="1" applyProtection="1">
      <alignment horizontal="center"/>
      <protection locked="0"/>
    </xf>
    <xf numFmtId="2" fontId="3" fillId="6" borderId="1" xfId="1" applyNumberFormat="1" applyFont="1" applyFill="1" applyBorder="1" applyAlignment="1">
      <alignment horizontal="center" wrapText="1"/>
    </xf>
    <xf numFmtId="2" fontId="3" fillId="6" borderId="1" xfId="1" applyNumberFormat="1" applyFont="1" applyFill="1" applyBorder="1" applyAlignment="1">
      <alignment horizontal="left" wrapText="1"/>
    </xf>
    <xf numFmtId="2" fontId="3" fillId="6" borderId="1" xfId="1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left" wrapText="1"/>
    </xf>
    <xf numFmtId="0" fontId="4" fillId="6" borderId="1" xfId="1" applyNumberFormat="1" applyFont="1" applyFill="1" applyBorder="1" applyAlignment="1">
      <alignment horizontal="left" wrapText="1"/>
    </xf>
    <xf numFmtId="0" fontId="4" fillId="6" borderId="1" xfId="1" applyFont="1" applyFill="1" applyBorder="1" applyAlignment="1">
      <alignment horizontal="left" wrapText="1"/>
    </xf>
    <xf numFmtId="0" fontId="4" fillId="6" borderId="1" xfId="0" applyNumberFormat="1" applyFont="1" applyFill="1" applyBorder="1" applyAlignment="1">
      <alignment horizontal="left" wrapText="1"/>
    </xf>
    <xf numFmtId="2" fontId="4" fillId="6" borderId="1" xfId="0" applyNumberFormat="1" applyFont="1" applyFill="1" applyBorder="1" applyAlignment="1">
      <alignment horizontal="right"/>
    </xf>
    <xf numFmtId="2" fontId="4" fillId="6" borderId="1" xfId="0" applyNumberFormat="1" applyFont="1" applyFill="1" applyBorder="1" applyAlignment="1"/>
    <xf numFmtId="2" fontId="8" fillId="6" borderId="3" xfId="0" applyNumberFormat="1" applyFont="1" applyFill="1" applyBorder="1" applyAlignment="1">
      <alignment vertical="center"/>
    </xf>
    <xf numFmtId="2" fontId="8" fillId="6" borderId="1" xfId="0" applyNumberFormat="1" applyFont="1" applyFill="1" applyBorder="1" applyAlignment="1" applyProtection="1">
      <protection locked="0"/>
    </xf>
    <xf numFmtId="2" fontId="8" fillId="6" borderId="6" xfId="0" applyNumberFormat="1" applyFont="1" applyFill="1" applyBorder="1" applyAlignment="1">
      <alignment vertical="center"/>
    </xf>
    <xf numFmtId="2" fontId="8" fillId="6" borderId="7" xfId="0" applyNumberFormat="1" applyFont="1" applyFill="1" applyBorder="1" applyAlignment="1">
      <alignment vertical="center"/>
    </xf>
    <xf numFmtId="2" fontId="8" fillId="6" borderId="5" xfId="0" applyNumberFormat="1" applyFont="1" applyFill="1" applyBorder="1" applyAlignment="1">
      <alignment vertical="center"/>
    </xf>
    <xf numFmtId="2" fontId="3" fillId="6" borderId="4" xfId="1" applyNumberFormat="1" applyFont="1" applyFill="1" applyBorder="1" applyAlignment="1">
      <alignment vertical="center" wrapText="1"/>
    </xf>
    <xf numFmtId="2" fontId="8" fillId="6" borderId="1" xfId="0" applyNumberFormat="1" applyFont="1" applyFill="1" applyBorder="1" applyAlignment="1">
      <alignment wrapText="1"/>
    </xf>
    <xf numFmtId="0" fontId="8" fillId="6" borderId="8" xfId="0" applyFont="1" applyFill="1" applyBorder="1" applyAlignment="1">
      <alignment horizontal="left" vertical="center" wrapText="1"/>
    </xf>
    <xf numFmtId="2" fontId="8" fillId="6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 applyProtection="1"/>
    <xf numFmtId="49" fontId="0" fillId="2" borderId="2" xfId="0" applyNumberFormat="1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2" fontId="5" fillId="0" borderId="6" xfId="0" applyNumberFormat="1" applyFont="1" applyBorder="1" applyAlignment="1" applyProtection="1">
      <alignment horizontal="right"/>
      <protection locked="0"/>
    </xf>
    <xf numFmtId="2" fontId="5" fillId="0" borderId="6" xfId="0" applyNumberFormat="1" applyFont="1" applyBorder="1" applyAlignment="1" applyProtection="1">
      <protection locked="0"/>
    </xf>
    <xf numFmtId="0" fontId="2" fillId="6" borderId="1" xfId="0" applyNumberFormat="1" applyFon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horizontal="right" vertical="center"/>
    </xf>
    <xf numFmtId="2" fontId="8" fillId="6" borderId="2" xfId="0" applyNumberFormat="1" applyFont="1" applyFill="1" applyBorder="1" applyAlignment="1">
      <alignment vertical="center" wrapText="1"/>
    </xf>
    <xf numFmtId="2" fontId="2" fillId="6" borderId="1" xfId="1" applyNumberFormat="1" applyFont="1" applyFill="1" applyBorder="1" applyAlignment="1">
      <alignment vertical="center" wrapText="1"/>
    </xf>
    <xf numFmtId="2" fontId="8" fillId="6" borderId="2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 applyProtection="1">
      <alignment vertical="center"/>
      <protection locked="0"/>
    </xf>
    <xf numFmtId="2" fontId="1" fillId="6" borderId="1" xfId="1" applyNumberFormat="1" applyFont="1" applyFill="1" applyBorder="1" applyAlignment="1">
      <alignment wrapText="1"/>
    </xf>
    <xf numFmtId="2" fontId="8" fillId="6" borderId="4" xfId="0" applyNumberFormat="1" applyFont="1" applyFill="1" applyBorder="1" applyAlignment="1">
      <alignment vertical="center"/>
    </xf>
    <xf numFmtId="2" fontId="8" fillId="6" borderId="9" xfId="0" applyNumberFormat="1" applyFont="1" applyFill="1" applyBorder="1" applyAlignment="1">
      <alignment vertical="center"/>
    </xf>
    <xf numFmtId="2" fontId="1" fillId="6" borderId="1" xfId="1" applyNumberFormat="1" applyFont="1" applyFill="1" applyBorder="1" applyAlignment="1">
      <alignment vertical="center"/>
    </xf>
    <xf numFmtId="2" fontId="1" fillId="6" borderId="6" xfId="1" applyNumberFormat="1" applyFont="1" applyFill="1" applyBorder="1" applyAlignment="1">
      <alignment vertical="center"/>
    </xf>
    <xf numFmtId="49" fontId="0" fillId="6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/>
    <xf numFmtId="2" fontId="8" fillId="6" borderId="10" xfId="0" applyNumberFormat="1" applyFont="1" applyFill="1" applyBorder="1" applyAlignment="1">
      <alignment horizontal="left" vertical="center" wrapText="1"/>
    </xf>
    <xf numFmtId="2" fontId="8" fillId="6" borderId="11" xfId="0" applyNumberFormat="1" applyFont="1" applyFill="1" applyBorder="1" applyAlignment="1">
      <alignment horizontal="right" vertical="center"/>
    </xf>
    <xf numFmtId="2" fontId="8" fillId="6" borderId="12" xfId="0" applyNumberFormat="1" applyFont="1" applyFill="1" applyBorder="1" applyAlignment="1">
      <alignment horizontal="right" vertical="center"/>
    </xf>
    <xf numFmtId="2" fontId="1" fillId="6" borderId="11" xfId="1" applyNumberFormat="1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 applyProtection="1">
      <protection locked="0"/>
    </xf>
    <xf numFmtId="2" fontId="1" fillId="6" borderId="1" xfId="1" applyNumberFormat="1" applyFont="1" applyFill="1" applyBorder="1" applyAlignment="1">
      <alignment vertical="center" wrapText="1"/>
    </xf>
    <xf numFmtId="2" fontId="1" fillId="6" borderId="1" xfId="1" applyNumberFormat="1" applyFont="1" applyFill="1" applyBorder="1" applyAlignment="1"/>
    <xf numFmtId="2" fontId="1" fillId="6" borderId="1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0"/>
  <sheetViews>
    <sheetView tabSelected="1" view="pageBreakPreview" zoomScale="60" zoomScaleNormal="85" workbookViewId="0">
      <selection activeCell="E9" sqref="E9"/>
    </sheetView>
  </sheetViews>
  <sheetFormatPr defaultRowHeight="15" x14ac:dyDescent="0.25"/>
  <cols>
    <col min="1" max="1" width="3.85546875" style="2" customWidth="1"/>
    <col min="2" max="2" width="4.5703125" style="2" customWidth="1"/>
    <col min="3" max="3" width="8.28515625" style="2" customWidth="1"/>
    <col min="4" max="4" width="10.7109375" style="2" customWidth="1"/>
    <col min="5" max="5" width="48.5703125" style="49" customWidth="1"/>
    <col min="6" max="6" width="9.5703125" style="24" customWidth="1"/>
    <col min="7" max="7" width="9.28515625" style="57" customWidth="1"/>
    <col min="8" max="8" width="7.85546875" style="57" customWidth="1"/>
    <col min="9" max="9" width="9.140625" style="57" customWidth="1"/>
    <col min="10" max="10" width="11.140625" style="57" customWidth="1"/>
    <col min="11" max="11" width="9.28515625" style="35" customWidth="1"/>
    <col min="12" max="12" width="8.28515625" style="2" customWidth="1"/>
    <col min="13" max="16384" width="9.140625" style="2"/>
  </cols>
  <sheetData>
    <row r="1" spans="1:12" ht="20.100000000000001" customHeight="1" x14ac:dyDescent="0.25">
      <c r="A1" s="2" t="s">
        <v>0</v>
      </c>
      <c r="C1" s="121"/>
      <c r="D1" s="121"/>
      <c r="E1" s="121"/>
      <c r="F1" s="24" t="s">
        <v>1</v>
      </c>
      <c r="G1" s="57" t="s">
        <v>2</v>
      </c>
      <c r="H1" s="121" t="s">
        <v>3</v>
      </c>
      <c r="I1" s="121"/>
      <c r="J1" s="121"/>
      <c r="K1" s="121"/>
    </row>
    <row r="2" spans="1:12" ht="20.100000000000001" customHeight="1" x14ac:dyDescent="0.25">
      <c r="A2" s="2" t="s">
        <v>4</v>
      </c>
      <c r="G2" s="57" t="s">
        <v>5</v>
      </c>
      <c r="H2" s="121" t="s">
        <v>42</v>
      </c>
      <c r="I2" s="121"/>
      <c r="J2" s="121"/>
      <c r="K2" s="121"/>
    </row>
    <row r="3" spans="1:12" ht="20.100000000000001" customHeight="1" x14ac:dyDescent="0.25">
      <c r="A3" s="2" t="s">
        <v>6</v>
      </c>
      <c r="E3" s="49" t="s">
        <v>7</v>
      </c>
      <c r="G3" s="57" t="s">
        <v>8</v>
      </c>
      <c r="H3" s="7">
        <v>1</v>
      </c>
      <c r="I3" s="7">
        <v>6</v>
      </c>
      <c r="J3" s="7">
        <v>2026</v>
      </c>
    </row>
    <row r="4" spans="1:12" ht="20.100000000000001" customHeight="1" x14ac:dyDescent="0.25">
      <c r="H4" s="57" t="s">
        <v>9</v>
      </c>
      <c r="I4" s="57" t="s">
        <v>10</v>
      </c>
      <c r="J4" s="57" t="s">
        <v>11</v>
      </c>
    </row>
    <row r="5" spans="1:12" ht="52.9" customHeight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26" t="s">
        <v>17</v>
      </c>
      <c r="G5" s="58" t="s">
        <v>18</v>
      </c>
      <c r="H5" s="58" t="s">
        <v>19</v>
      </c>
      <c r="I5" s="58" t="s">
        <v>20</v>
      </c>
      <c r="J5" s="58" t="s">
        <v>21</v>
      </c>
      <c r="K5" s="4" t="s">
        <v>22</v>
      </c>
      <c r="L5" s="41" t="s">
        <v>23</v>
      </c>
    </row>
    <row r="6" spans="1:12" ht="18" customHeight="1" x14ac:dyDescent="0.25">
      <c r="A6" s="5">
        <v>1</v>
      </c>
      <c r="B6" s="5">
        <v>1</v>
      </c>
      <c r="C6" s="5" t="s">
        <v>24</v>
      </c>
      <c r="D6" s="6" t="s">
        <v>25</v>
      </c>
      <c r="E6" s="34" t="s">
        <v>98</v>
      </c>
      <c r="F6" s="68">
        <v>250</v>
      </c>
      <c r="G6" s="69">
        <f>F6*5.4/200</f>
        <v>6.75</v>
      </c>
      <c r="H6" s="69">
        <f>F6*10.1/200</f>
        <v>12.625</v>
      </c>
      <c r="I6" s="69">
        <f>F6*25.66/200</f>
        <v>32.075000000000003</v>
      </c>
      <c r="J6" s="69">
        <f>F6*215.14/200</f>
        <v>268.92500000000001</v>
      </c>
      <c r="K6" s="36">
        <v>44504</v>
      </c>
      <c r="L6" s="42"/>
    </row>
    <row r="7" spans="1:12" ht="18" customHeight="1" x14ac:dyDescent="0.25">
      <c r="A7" s="8" t="s">
        <v>26</v>
      </c>
      <c r="B7" s="8" t="s">
        <v>26</v>
      </c>
      <c r="C7" s="8" t="s">
        <v>26</v>
      </c>
      <c r="D7" s="9" t="s">
        <v>36</v>
      </c>
      <c r="E7" s="34" t="s">
        <v>44</v>
      </c>
      <c r="F7" s="70">
        <v>60</v>
      </c>
      <c r="G7" s="71">
        <f>7.3*F7/60</f>
        <v>7.3</v>
      </c>
      <c r="H7" s="71">
        <f>4.4*F7/60</f>
        <v>4.4000000000000004</v>
      </c>
      <c r="I7" s="71">
        <f>21*F7/60</f>
        <v>21</v>
      </c>
      <c r="J7" s="71">
        <f>153.24*F7/60</f>
        <v>153.24000000000004</v>
      </c>
      <c r="K7" s="36">
        <v>44240</v>
      </c>
      <c r="L7" s="42"/>
    </row>
    <row r="8" spans="1:12" ht="18" customHeight="1" x14ac:dyDescent="0.25">
      <c r="A8" s="8" t="s">
        <v>26</v>
      </c>
      <c r="B8" s="8" t="s">
        <v>26</v>
      </c>
      <c r="C8" s="8" t="s">
        <v>26</v>
      </c>
      <c r="D8" s="6" t="s">
        <v>27</v>
      </c>
      <c r="E8" s="34" t="s">
        <v>43</v>
      </c>
      <c r="F8" s="32">
        <v>200</v>
      </c>
      <c r="G8" s="59">
        <v>3.1</v>
      </c>
      <c r="H8" s="59">
        <v>3.2</v>
      </c>
      <c r="I8" s="59">
        <v>14.4</v>
      </c>
      <c r="J8" s="59">
        <v>99</v>
      </c>
      <c r="K8" s="36">
        <v>3210</v>
      </c>
      <c r="L8" s="42"/>
    </row>
    <row r="9" spans="1:12" ht="18" customHeight="1" x14ac:dyDescent="0.25">
      <c r="A9" s="8" t="s">
        <v>26</v>
      </c>
      <c r="B9" s="8" t="s">
        <v>26</v>
      </c>
      <c r="C9" s="8" t="s">
        <v>26</v>
      </c>
      <c r="D9" s="6" t="s">
        <v>37</v>
      </c>
      <c r="E9" s="34" t="s">
        <v>45</v>
      </c>
      <c r="F9" s="70">
        <v>50</v>
      </c>
      <c r="G9" s="65">
        <f>SUM(F9*1.68/30)</f>
        <v>2.8</v>
      </c>
      <c r="H9" s="65">
        <f>SUM(F9*0.33/30)</f>
        <v>0.55000000000000004</v>
      </c>
      <c r="I9" s="65">
        <f>SUM(F9*14.82/30)</f>
        <v>24.7</v>
      </c>
      <c r="J9" s="65">
        <f>SUM(F9*68.97/30)</f>
        <v>114.95</v>
      </c>
      <c r="K9" s="36" t="s">
        <v>46</v>
      </c>
      <c r="L9" s="42"/>
    </row>
    <row r="10" spans="1:12" ht="18" customHeight="1" x14ac:dyDescent="0.25">
      <c r="A10" s="8" t="s">
        <v>26</v>
      </c>
      <c r="B10" s="8" t="s">
        <v>26</v>
      </c>
      <c r="C10" s="8" t="s">
        <v>26</v>
      </c>
      <c r="D10" s="6"/>
      <c r="E10" s="50"/>
      <c r="F10" s="25"/>
      <c r="G10" s="61"/>
      <c r="H10" s="61"/>
      <c r="I10" s="61"/>
      <c r="J10" s="61"/>
      <c r="K10" s="36"/>
      <c r="L10" s="42"/>
    </row>
    <row r="11" spans="1:12" ht="18" customHeight="1" x14ac:dyDescent="0.25">
      <c r="A11" s="8" t="s">
        <v>26</v>
      </c>
      <c r="B11" s="8" t="s">
        <v>26</v>
      </c>
      <c r="C11" s="8" t="s">
        <v>26</v>
      </c>
      <c r="D11" s="10"/>
      <c r="E11" s="50"/>
      <c r="F11" s="25"/>
      <c r="G11" s="61"/>
      <c r="H11" s="61"/>
      <c r="I11" s="61"/>
      <c r="J11" s="61"/>
      <c r="K11" s="36"/>
      <c r="L11" s="42"/>
    </row>
    <row r="12" spans="1:12" ht="18" customHeight="1" x14ac:dyDescent="0.25">
      <c r="A12" s="8" t="s">
        <v>26</v>
      </c>
      <c r="B12" s="8" t="s">
        <v>26</v>
      </c>
      <c r="C12" s="8" t="s">
        <v>26</v>
      </c>
      <c r="D12" s="10"/>
      <c r="E12" s="50"/>
      <c r="F12" s="25"/>
      <c r="G12" s="61"/>
      <c r="H12" s="61"/>
      <c r="I12" s="61"/>
      <c r="J12" s="61"/>
      <c r="K12" s="36"/>
      <c r="L12" s="42"/>
    </row>
    <row r="13" spans="1:12" ht="18" customHeight="1" x14ac:dyDescent="0.25">
      <c r="A13" s="11"/>
      <c r="B13" s="11"/>
      <c r="C13" s="11" t="s">
        <v>29</v>
      </c>
      <c r="D13" s="12"/>
      <c r="E13" s="51"/>
      <c r="F13" s="27">
        <f>SUM(F6:F12)</f>
        <v>560</v>
      </c>
      <c r="G13" s="62">
        <f>SUM(G6:G12)</f>
        <v>19.950000000000003</v>
      </c>
      <c r="H13" s="62">
        <f>SUM(H6:H12)</f>
        <v>20.774999999999999</v>
      </c>
      <c r="I13" s="62">
        <f>SUM(I6:I12)</f>
        <v>92.175000000000011</v>
      </c>
      <c r="J13" s="62">
        <f>SUM(J6:J12)</f>
        <v>636.11500000000012</v>
      </c>
      <c r="K13" s="37"/>
      <c r="L13" s="43">
        <f>L6+L7+L8+L9+L10+L11</f>
        <v>0</v>
      </c>
    </row>
    <row r="14" spans="1:12" ht="27" customHeight="1" x14ac:dyDescent="0.25">
      <c r="A14" s="5">
        <v>1</v>
      </c>
      <c r="B14" s="5">
        <v>1</v>
      </c>
      <c r="C14" s="5" t="s">
        <v>30</v>
      </c>
      <c r="D14" s="6" t="s">
        <v>31</v>
      </c>
      <c r="E14" s="50" t="s">
        <v>47</v>
      </c>
      <c r="F14" s="32">
        <v>60</v>
      </c>
      <c r="G14" s="65">
        <f>F14*1.7/100</f>
        <v>1.02</v>
      </c>
      <c r="H14" s="65">
        <f>F14*6/100</f>
        <v>3.6</v>
      </c>
      <c r="I14" s="65">
        <f>F14*7.9/100</f>
        <v>4.74</v>
      </c>
      <c r="J14" s="65">
        <f>F14*92.4/100</f>
        <v>55.44</v>
      </c>
      <c r="K14" s="36">
        <v>44348</v>
      </c>
      <c r="L14" s="44"/>
    </row>
    <row r="15" spans="1:12" ht="18" customHeight="1" x14ac:dyDescent="0.25">
      <c r="A15" s="8" t="s">
        <v>26</v>
      </c>
      <c r="B15" s="8" t="s">
        <v>26</v>
      </c>
      <c r="C15" s="8" t="s">
        <v>26</v>
      </c>
      <c r="D15" s="6" t="s">
        <v>32</v>
      </c>
      <c r="E15" s="50" t="s">
        <v>48</v>
      </c>
      <c r="F15" s="32">
        <v>200</v>
      </c>
      <c r="G15" s="72">
        <f>F15*5.5/250+1.6+2</f>
        <v>8</v>
      </c>
      <c r="H15" s="72">
        <f>F15*5.6/250+1.7+2</f>
        <v>8.18</v>
      </c>
      <c r="I15" s="72">
        <f>F15*20.8/250+2</f>
        <v>18.64</v>
      </c>
      <c r="J15" s="72">
        <f>F15*156/250+22+33.5</f>
        <v>180.3</v>
      </c>
      <c r="K15" s="36" t="s">
        <v>54</v>
      </c>
      <c r="L15" s="44"/>
    </row>
    <row r="16" spans="1:12" ht="18" customHeight="1" x14ac:dyDescent="0.25">
      <c r="A16" s="8" t="s">
        <v>26</v>
      </c>
      <c r="B16" s="8" t="s">
        <v>26</v>
      </c>
      <c r="C16" s="8" t="s">
        <v>26</v>
      </c>
      <c r="D16" s="6" t="s">
        <v>33</v>
      </c>
      <c r="E16" s="50" t="s">
        <v>49</v>
      </c>
      <c r="F16" s="32">
        <v>100</v>
      </c>
      <c r="G16" s="65">
        <f>F16*11.7/90</f>
        <v>13</v>
      </c>
      <c r="H16" s="65">
        <f>F16*11.61/90</f>
        <v>12.9</v>
      </c>
      <c r="I16" s="65">
        <f>F16*5.76/90</f>
        <v>6.4</v>
      </c>
      <c r="J16" s="65">
        <f>F16*175/90</f>
        <v>194.44444444444446</v>
      </c>
      <c r="K16" s="36" t="s">
        <v>53</v>
      </c>
      <c r="L16" s="44"/>
    </row>
    <row r="17" spans="1:12" ht="18" customHeight="1" x14ac:dyDescent="0.25">
      <c r="A17" s="8" t="s">
        <v>26</v>
      </c>
      <c r="B17" s="8" t="s">
        <v>26</v>
      </c>
      <c r="C17" s="8" t="s">
        <v>26</v>
      </c>
      <c r="D17" s="6" t="s">
        <v>34</v>
      </c>
      <c r="E17" s="50" t="s">
        <v>50</v>
      </c>
      <c r="F17" s="32">
        <v>150</v>
      </c>
      <c r="G17" s="65">
        <f>F17*5/200</f>
        <v>3.75</v>
      </c>
      <c r="H17" s="65">
        <f>F17*9.5/200</f>
        <v>7.125</v>
      </c>
      <c r="I17" s="65">
        <f>F17*50.3/200</f>
        <v>37.725000000000001</v>
      </c>
      <c r="J17" s="65">
        <f>F17*306.7/200</f>
        <v>230.02500000000001</v>
      </c>
      <c r="K17" s="36" t="s">
        <v>55</v>
      </c>
      <c r="L17" s="44"/>
    </row>
    <row r="18" spans="1:12" ht="18" customHeight="1" x14ac:dyDescent="0.25">
      <c r="A18" s="8" t="s">
        <v>26</v>
      </c>
      <c r="B18" s="8" t="s">
        <v>26</v>
      </c>
      <c r="C18" s="8" t="s">
        <v>26</v>
      </c>
      <c r="D18" s="6" t="s">
        <v>35</v>
      </c>
      <c r="E18" s="50" t="s">
        <v>51</v>
      </c>
      <c r="F18" s="32">
        <v>200</v>
      </c>
      <c r="G18" s="65">
        <v>0.4</v>
      </c>
      <c r="H18" s="65">
        <v>0.2</v>
      </c>
      <c r="I18" s="65">
        <v>16.100000000000001</v>
      </c>
      <c r="J18" s="65">
        <v>68</v>
      </c>
      <c r="K18" s="36" t="s">
        <v>57</v>
      </c>
      <c r="L18" s="44"/>
    </row>
    <row r="19" spans="1:12" ht="18" customHeight="1" x14ac:dyDescent="0.25">
      <c r="A19" s="8" t="s">
        <v>26</v>
      </c>
      <c r="B19" s="8" t="s">
        <v>26</v>
      </c>
      <c r="C19" s="8" t="s">
        <v>26</v>
      </c>
      <c r="D19" s="6" t="s">
        <v>36</v>
      </c>
      <c r="E19" s="50" t="s">
        <v>52</v>
      </c>
      <c r="F19" s="32">
        <v>50</v>
      </c>
      <c r="G19" s="65">
        <f>SUM(F19*2.37/30)</f>
        <v>3.95</v>
      </c>
      <c r="H19" s="65">
        <f>SUM(F19*0.3/30)</f>
        <v>0.5</v>
      </c>
      <c r="I19" s="65">
        <f>SUM(F19*14.49/30)</f>
        <v>24.15</v>
      </c>
      <c r="J19" s="65">
        <f>SUM(F19*70.14/30)</f>
        <v>116.9</v>
      </c>
      <c r="K19" s="36" t="s">
        <v>46</v>
      </c>
      <c r="L19" s="44"/>
    </row>
    <row r="20" spans="1:12" ht="18" customHeight="1" x14ac:dyDescent="0.25">
      <c r="A20" s="8" t="s">
        <v>26</v>
      </c>
      <c r="B20" s="8" t="s">
        <v>26</v>
      </c>
      <c r="C20" s="8" t="s">
        <v>26</v>
      </c>
      <c r="D20" s="6" t="s">
        <v>37</v>
      </c>
      <c r="E20" s="50" t="s">
        <v>45</v>
      </c>
      <c r="F20" s="32">
        <v>50</v>
      </c>
      <c r="G20" s="65">
        <f>SUM(F20*1.68/30)</f>
        <v>2.8</v>
      </c>
      <c r="H20" s="65">
        <f>SUM(F20*0.33/30)</f>
        <v>0.55000000000000004</v>
      </c>
      <c r="I20" s="65">
        <f>SUM(F20*14.82/30)</f>
        <v>24.7</v>
      </c>
      <c r="J20" s="65">
        <f>SUM(F20*68.97/30)</f>
        <v>114.95</v>
      </c>
      <c r="K20" s="36" t="s">
        <v>46</v>
      </c>
      <c r="L20" s="44"/>
    </row>
    <row r="21" spans="1:12" ht="18" customHeight="1" x14ac:dyDescent="0.25">
      <c r="A21" s="8" t="s">
        <v>26</v>
      </c>
      <c r="B21" s="8" t="s">
        <v>26</v>
      </c>
      <c r="C21" s="8" t="s">
        <v>26</v>
      </c>
      <c r="D21" s="10"/>
      <c r="E21" s="50"/>
      <c r="F21" s="25"/>
      <c r="G21" s="61"/>
      <c r="H21" s="61"/>
      <c r="I21" s="61"/>
      <c r="J21" s="61"/>
      <c r="K21" s="36"/>
      <c r="L21" s="44"/>
    </row>
    <row r="22" spans="1:12" ht="18" customHeight="1" x14ac:dyDescent="0.25">
      <c r="A22" s="8" t="s">
        <v>26</v>
      </c>
      <c r="B22" s="8" t="s">
        <v>26</v>
      </c>
      <c r="C22" s="8" t="s">
        <v>26</v>
      </c>
      <c r="D22" s="10"/>
      <c r="E22" s="50"/>
      <c r="F22" s="25"/>
      <c r="G22" s="61"/>
      <c r="H22" s="61"/>
      <c r="I22" s="61"/>
      <c r="J22" s="61"/>
      <c r="K22" s="36"/>
      <c r="L22" s="44"/>
    </row>
    <row r="23" spans="1:12" ht="18" customHeight="1" x14ac:dyDescent="0.25">
      <c r="A23" s="11"/>
      <c r="B23" s="11"/>
      <c r="C23" s="11" t="s">
        <v>29</v>
      </c>
      <c r="D23" s="12"/>
      <c r="E23" s="51"/>
      <c r="F23" s="27">
        <f>SUM(F14:F22)</f>
        <v>810</v>
      </c>
      <c r="G23" s="62">
        <f>SUM(G14:G22)</f>
        <v>32.919999999999995</v>
      </c>
      <c r="H23" s="62">
        <f>SUM(H14:H22)</f>
        <v>33.055</v>
      </c>
      <c r="I23" s="62">
        <f>SUM(I14:I22)</f>
        <v>132.45499999999998</v>
      </c>
      <c r="J23" s="62">
        <f>SUM(J14:J22)</f>
        <v>960.05944444444447</v>
      </c>
      <c r="K23" s="37"/>
      <c r="L23" s="45">
        <f>L14+L15+L16+L17+L18+L19+L20+L21</f>
        <v>0</v>
      </c>
    </row>
    <row r="24" spans="1:12" ht="18" customHeight="1" x14ac:dyDescent="0.25">
      <c r="A24" s="5">
        <v>1</v>
      </c>
      <c r="B24" s="5">
        <v>1</v>
      </c>
      <c r="C24" s="5" t="s">
        <v>38</v>
      </c>
      <c r="D24" s="6" t="s">
        <v>39</v>
      </c>
      <c r="E24" s="50" t="s">
        <v>59</v>
      </c>
      <c r="F24" s="40">
        <v>100</v>
      </c>
      <c r="G24" s="65">
        <f>F24*5.7/60</f>
        <v>9.5</v>
      </c>
      <c r="H24" s="65">
        <f>F24*7/60</f>
        <v>11.666666666666666</v>
      </c>
      <c r="I24" s="65">
        <f>F24*28.8/60</f>
        <v>48</v>
      </c>
      <c r="J24" s="65">
        <f>F24*205/60</f>
        <v>341.66666666666669</v>
      </c>
      <c r="K24" s="36" t="s">
        <v>62</v>
      </c>
      <c r="L24" s="44"/>
    </row>
    <row r="25" spans="1:12" ht="18" customHeight="1" x14ac:dyDescent="0.25">
      <c r="A25" s="8" t="s">
        <v>26</v>
      </c>
      <c r="B25" s="8" t="s">
        <v>26</v>
      </c>
      <c r="C25" s="8" t="s">
        <v>26</v>
      </c>
      <c r="D25" s="6" t="s">
        <v>35</v>
      </c>
      <c r="E25" s="50" t="s">
        <v>58</v>
      </c>
      <c r="F25" s="25">
        <v>200</v>
      </c>
      <c r="G25" s="63">
        <v>1</v>
      </c>
      <c r="H25" s="63">
        <v>0.1</v>
      </c>
      <c r="I25" s="63">
        <v>19.8</v>
      </c>
      <c r="J25" s="63">
        <v>84</v>
      </c>
      <c r="K25" s="36" t="s">
        <v>61</v>
      </c>
      <c r="L25" s="44"/>
    </row>
    <row r="26" spans="1:12" ht="18" customHeight="1" x14ac:dyDescent="0.25">
      <c r="A26" s="8"/>
      <c r="B26" s="8"/>
      <c r="C26" s="8"/>
      <c r="D26" s="6" t="s">
        <v>28</v>
      </c>
      <c r="E26" s="50" t="s">
        <v>60</v>
      </c>
      <c r="F26" s="25">
        <v>100</v>
      </c>
      <c r="G26" s="63">
        <v>0.4</v>
      </c>
      <c r="H26" s="63">
        <v>0.4</v>
      </c>
      <c r="I26" s="63">
        <v>9.8000000000000007</v>
      </c>
      <c r="J26" s="63">
        <v>47</v>
      </c>
      <c r="K26" s="36" t="s">
        <v>46</v>
      </c>
      <c r="L26" s="44"/>
    </row>
    <row r="27" spans="1:12" ht="18" customHeight="1" x14ac:dyDescent="0.25">
      <c r="A27" s="11"/>
      <c r="B27" s="11"/>
      <c r="C27" s="11" t="s">
        <v>29</v>
      </c>
      <c r="D27" s="12"/>
      <c r="E27" s="51"/>
      <c r="F27" s="27">
        <f>SUM(F24:F26)</f>
        <v>400</v>
      </c>
      <c r="G27" s="62">
        <f t="shared" ref="G27:J27" si="0">SUM(G24:G26)</f>
        <v>10.9</v>
      </c>
      <c r="H27" s="62">
        <f t="shared" si="0"/>
        <v>12.166666666666666</v>
      </c>
      <c r="I27" s="62">
        <f t="shared" si="0"/>
        <v>77.599999999999994</v>
      </c>
      <c r="J27" s="62">
        <f t="shared" si="0"/>
        <v>472.66666666666669</v>
      </c>
      <c r="K27" s="37"/>
      <c r="L27" s="45"/>
    </row>
    <row r="28" spans="1:12" ht="18" customHeight="1" x14ac:dyDescent="0.25">
      <c r="A28" s="13"/>
      <c r="B28" s="13"/>
      <c r="C28" s="13" t="s">
        <v>40</v>
      </c>
      <c r="D28" s="14"/>
      <c r="E28" s="52"/>
      <c r="F28" s="28">
        <f>F13+F23+F27</f>
        <v>1770</v>
      </c>
      <c r="G28" s="64">
        <f>G13+G23+G27</f>
        <v>63.769999999999996</v>
      </c>
      <c r="H28" s="64">
        <f>H13+H23+H27</f>
        <v>65.99666666666667</v>
      </c>
      <c r="I28" s="64">
        <f>I13+I23+I27</f>
        <v>302.23</v>
      </c>
      <c r="J28" s="64">
        <f>J13+J23+J27</f>
        <v>2068.8411111111113</v>
      </c>
      <c r="K28" s="38"/>
      <c r="L28" s="46">
        <f>L13+L23+L27</f>
        <v>0</v>
      </c>
    </row>
    <row r="29" spans="1:12" ht="18" customHeight="1" x14ac:dyDescent="0.25">
      <c r="A29" s="5">
        <v>1</v>
      </c>
      <c r="B29" s="5">
        <v>2</v>
      </c>
      <c r="C29" s="5" t="s">
        <v>24</v>
      </c>
      <c r="D29" s="6" t="s">
        <v>25</v>
      </c>
      <c r="E29" s="34" t="s">
        <v>63</v>
      </c>
      <c r="F29" s="17">
        <v>250</v>
      </c>
      <c r="G29" s="65">
        <f>F29*12.5/200</f>
        <v>15.625</v>
      </c>
      <c r="H29" s="65">
        <f>F29*16.2/200</f>
        <v>20.25</v>
      </c>
      <c r="I29" s="65">
        <f>F29*37/200</f>
        <v>46.25</v>
      </c>
      <c r="J29" s="65">
        <f>F29*344/200</f>
        <v>430</v>
      </c>
      <c r="K29" s="36" t="s">
        <v>71</v>
      </c>
      <c r="L29" s="44"/>
    </row>
    <row r="30" spans="1:12" ht="18" customHeight="1" x14ac:dyDescent="0.25">
      <c r="A30" s="8" t="s">
        <v>26</v>
      </c>
      <c r="B30" s="8" t="s">
        <v>26</v>
      </c>
      <c r="C30" s="8" t="s">
        <v>26</v>
      </c>
      <c r="D30" s="6" t="s">
        <v>27</v>
      </c>
      <c r="E30" s="34" t="s">
        <v>64</v>
      </c>
      <c r="F30" s="17">
        <v>200</v>
      </c>
      <c r="G30" s="65">
        <v>0.2</v>
      </c>
      <c r="H30" s="65">
        <v>0</v>
      </c>
      <c r="I30" s="65">
        <v>13.7</v>
      </c>
      <c r="J30" s="65">
        <v>56</v>
      </c>
      <c r="K30" s="36" t="s">
        <v>72</v>
      </c>
      <c r="L30" s="44"/>
    </row>
    <row r="31" spans="1:12" ht="18" customHeight="1" x14ac:dyDescent="0.25">
      <c r="A31" s="8" t="s">
        <v>26</v>
      </c>
      <c r="B31" s="8" t="s">
        <v>26</v>
      </c>
      <c r="C31" s="8" t="s">
        <v>26</v>
      </c>
      <c r="D31" s="6" t="s">
        <v>36</v>
      </c>
      <c r="E31" s="34" t="s">
        <v>65</v>
      </c>
      <c r="F31" s="17">
        <v>70</v>
      </c>
      <c r="G31" s="65">
        <f>3.2*F31/50</f>
        <v>4.4800000000000004</v>
      </c>
      <c r="H31" s="65">
        <f>7.7*F31/50</f>
        <v>10.78</v>
      </c>
      <c r="I31" s="65">
        <f>19.5*F31/50</f>
        <v>27.3</v>
      </c>
      <c r="J31" s="65">
        <f>F31*160/50</f>
        <v>224</v>
      </c>
      <c r="K31" s="36" t="s">
        <v>73</v>
      </c>
      <c r="L31" s="44"/>
    </row>
    <row r="32" spans="1:12" ht="18" customHeight="1" x14ac:dyDescent="0.25">
      <c r="A32" s="8" t="s">
        <v>26</v>
      </c>
      <c r="B32" s="8" t="s">
        <v>26</v>
      </c>
      <c r="C32" s="8" t="s">
        <v>26</v>
      </c>
      <c r="D32" s="6" t="s">
        <v>37</v>
      </c>
      <c r="E32" s="34" t="s">
        <v>45</v>
      </c>
      <c r="F32" s="17">
        <v>50</v>
      </c>
      <c r="G32" s="65">
        <f>SUM(F32*1.68/30)</f>
        <v>2.8</v>
      </c>
      <c r="H32" s="65">
        <f>SUM(F32*0.33/30)</f>
        <v>0.55000000000000004</v>
      </c>
      <c r="I32" s="65">
        <f>SUM(F32*14.82/30)</f>
        <v>24.7</v>
      </c>
      <c r="J32" s="65">
        <f>SUM(F32*68.97/30)</f>
        <v>114.95</v>
      </c>
      <c r="K32" s="36" t="s">
        <v>46</v>
      </c>
      <c r="L32" s="44"/>
    </row>
    <row r="33" spans="1:12" ht="18" customHeight="1" x14ac:dyDescent="0.25">
      <c r="A33" s="8" t="s">
        <v>26</v>
      </c>
      <c r="B33" s="8" t="s">
        <v>26</v>
      </c>
      <c r="C33" s="8" t="s">
        <v>26</v>
      </c>
      <c r="D33" s="10"/>
      <c r="E33" s="50"/>
      <c r="F33" s="25"/>
      <c r="G33" s="61"/>
      <c r="H33" s="61"/>
      <c r="I33" s="61"/>
      <c r="J33" s="61"/>
      <c r="K33" s="36"/>
      <c r="L33" s="44"/>
    </row>
    <row r="34" spans="1:12" ht="18" customHeight="1" x14ac:dyDescent="0.25">
      <c r="A34" s="8" t="s">
        <v>26</v>
      </c>
      <c r="B34" s="8" t="s">
        <v>26</v>
      </c>
      <c r="C34" s="8" t="s">
        <v>26</v>
      </c>
      <c r="D34" s="10"/>
      <c r="E34" s="50"/>
      <c r="F34" s="25"/>
      <c r="G34" s="61"/>
      <c r="H34" s="61"/>
      <c r="I34" s="61"/>
      <c r="J34" s="61"/>
      <c r="K34" s="36"/>
      <c r="L34" s="44"/>
    </row>
    <row r="35" spans="1:12" ht="18" customHeight="1" x14ac:dyDescent="0.25">
      <c r="A35" s="11"/>
      <c r="B35" s="11"/>
      <c r="C35" s="11" t="s">
        <v>29</v>
      </c>
      <c r="D35" s="12"/>
      <c r="E35" s="51"/>
      <c r="F35" s="27">
        <f>SUM(F29:F34)</f>
        <v>570</v>
      </c>
      <c r="G35" s="62">
        <f>SUM(G29:G34)</f>
        <v>23.105</v>
      </c>
      <c r="H35" s="62">
        <f>SUM(H29:H34)</f>
        <v>31.580000000000002</v>
      </c>
      <c r="I35" s="62">
        <f>SUM(I29:I34)</f>
        <v>111.95</v>
      </c>
      <c r="J35" s="62">
        <f>SUM(J29:J34)</f>
        <v>824.95</v>
      </c>
      <c r="K35" s="37"/>
      <c r="L35" s="45">
        <f>SUM(L29:L34)</f>
        <v>0</v>
      </c>
    </row>
    <row r="36" spans="1:12" ht="27.75" customHeight="1" x14ac:dyDescent="0.25">
      <c r="A36" s="5">
        <v>1</v>
      </c>
      <c r="B36" s="5">
        <v>2</v>
      </c>
      <c r="C36" s="5" t="s">
        <v>30</v>
      </c>
      <c r="D36" s="6" t="s">
        <v>31</v>
      </c>
      <c r="E36" s="34" t="s">
        <v>66</v>
      </c>
      <c r="F36" s="17">
        <v>100</v>
      </c>
      <c r="G36" s="65">
        <f>3.1*F36/100</f>
        <v>3.1</v>
      </c>
      <c r="H36" s="65">
        <f>7.3*F36/100</f>
        <v>7.3</v>
      </c>
      <c r="I36" s="65">
        <f>10.4*F36/100+8</f>
        <v>18.399999999999999</v>
      </c>
      <c r="J36" s="65">
        <v>151.69999999999999</v>
      </c>
      <c r="K36" s="36" t="s">
        <v>74</v>
      </c>
      <c r="L36" s="44"/>
    </row>
    <row r="37" spans="1:12" ht="18" customHeight="1" x14ac:dyDescent="0.25">
      <c r="A37" s="8" t="s">
        <v>26</v>
      </c>
      <c r="B37" s="8" t="s">
        <v>26</v>
      </c>
      <c r="C37" s="8" t="s">
        <v>26</v>
      </c>
      <c r="D37" s="6" t="s">
        <v>32</v>
      </c>
      <c r="E37" s="34" t="s">
        <v>69</v>
      </c>
      <c r="F37" s="17">
        <v>250</v>
      </c>
      <c r="G37" s="65">
        <f>F37*1.9/250+1.6+0.2</f>
        <v>3.7</v>
      </c>
      <c r="H37" s="65">
        <f>F37*3/250+1.7</f>
        <v>4.7</v>
      </c>
      <c r="I37" s="65">
        <f>F37*8/250+0.4</f>
        <v>8.4</v>
      </c>
      <c r="J37" s="65">
        <f>71*F37/200+22</f>
        <v>110.75</v>
      </c>
      <c r="K37" s="36" t="s">
        <v>75</v>
      </c>
      <c r="L37" s="44"/>
    </row>
    <row r="38" spans="1:12" ht="18" customHeight="1" x14ac:dyDescent="0.25">
      <c r="A38" s="8" t="s">
        <v>26</v>
      </c>
      <c r="B38" s="8" t="s">
        <v>26</v>
      </c>
      <c r="C38" s="8" t="s">
        <v>26</v>
      </c>
      <c r="D38" s="6" t="s">
        <v>33</v>
      </c>
      <c r="E38" s="34" t="s">
        <v>67</v>
      </c>
      <c r="F38" s="17">
        <v>130</v>
      </c>
      <c r="G38" s="65">
        <f>F38*16.8/120</f>
        <v>18.2</v>
      </c>
      <c r="H38" s="65">
        <f>F38*9.1/120+5</f>
        <v>14.858333333333333</v>
      </c>
      <c r="I38" s="65">
        <f>F38*6/120+5</f>
        <v>11.5</v>
      </c>
      <c r="J38" s="65">
        <f>F38*238.1/120</f>
        <v>257.94166666666666</v>
      </c>
      <c r="K38" s="36" t="s">
        <v>76</v>
      </c>
      <c r="L38" s="44"/>
    </row>
    <row r="39" spans="1:12" ht="18" customHeight="1" x14ac:dyDescent="0.25">
      <c r="A39" s="8" t="s">
        <v>26</v>
      </c>
      <c r="B39" s="8" t="s">
        <v>26</v>
      </c>
      <c r="C39" s="8" t="s">
        <v>26</v>
      </c>
      <c r="D39" s="6" t="s">
        <v>34</v>
      </c>
      <c r="E39" s="34" t="s">
        <v>68</v>
      </c>
      <c r="F39" s="17">
        <v>200</v>
      </c>
      <c r="G39" s="65">
        <f>F39*8.84/200</f>
        <v>8.84</v>
      </c>
      <c r="H39" s="65">
        <f>F39*5.92/200</f>
        <v>5.92</v>
      </c>
      <c r="I39" s="65">
        <f>F39*38.4/200+2</f>
        <v>40.4</v>
      </c>
      <c r="J39" s="65">
        <f>F39*181.5/150</f>
        <v>242</v>
      </c>
      <c r="K39" s="36" t="s">
        <v>77</v>
      </c>
      <c r="L39" s="44"/>
    </row>
    <row r="40" spans="1:12" ht="18" customHeight="1" x14ac:dyDescent="0.25">
      <c r="A40" s="8" t="s">
        <v>26</v>
      </c>
      <c r="B40" s="8" t="s">
        <v>26</v>
      </c>
      <c r="C40" s="8" t="s">
        <v>26</v>
      </c>
      <c r="D40" s="6" t="s">
        <v>35</v>
      </c>
      <c r="E40" s="34" t="s">
        <v>70</v>
      </c>
      <c r="F40" s="17">
        <v>200</v>
      </c>
      <c r="G40" s="65">
        <v>0.2</v>
      </c>
      <c r="H40" s="65">
        <v>0</v>
      </c>
      <c r="I40" s="65">
        <v>11.9</v>
      </c>
      <c r="J40" s="65">
        <v>48</v>
      </c>
      <c r="K40" s="36" t="s">
        <v>78</v>
      </c>
      <c r="L40" s="44"/>
    </row>
    <row r="41" spans="1:12" ht="18" customHeight="1" x14ac:dyDescent="0.25">
      <c r="A41" s="8" t="s">
        <v>26</v>
      </c>
      <c r="B41" s="8" t="s">
        <v>26</v>
      </c>
      <c r="C41" s="8" t="s">
        <v>26</v>
      </c>
      <c r="D41" s="6" t="s">
        <v>36</v>
      </c>
      <c r="E41" s="34" t="s">
        <v>52</v>
      </c>
      <c r="F41" s="17">
        <v>50</v>
      </c>
      <c r="G41" s="65">
        <f>SUM(F41*2.37/30)</f>
        <v>3.95</v>
      </c>
      <c r="H41" s="65">
        <f>SUM(F41*0.3/30)</f>
        <v>0.5</v>
      </c>
      <c r="I41" s="65">
        <f>SUM(F41*14.49/30)</f>
        <v>24.15</v>
      </c>
      <c r="J41" s="65">
        <f>SUM(F41*70.14/30)</f>
        <v>116.9</v>
      </c>
      <c r="K41" s="36" t="s">
        <v>46</v>
      </c>
      <c r="L41" s="44"/>
    </row>
    <row r="42" spans="1:12" ht="18" customHeight="1" x14ac:dyDescent="0.25">
      <c r="A42" s="8" t="s">
        <v>26</v>
      </c>
      <c r="B42" s="8" t="s">
        <v>26</v>
      </c>
      <c r="C42" s="8" t="s">
        <v>26</v>
      </c>
      <c r="D42" s="6" t="s">
        <v>37</v>
      </c>
      <c r="E42" s="34" t="s">
        <v>45</v>
      </c>
      <c r="F42" s="17">
        <v>40</v>
      </c>
      <c r="G42" s="65">
        <f>SUM(F42*1.68/30)</f>
        <v>2.2400000000000002</v>
      </c>
      <c r="H42" s="65">
        <f>SUM(F42*0.33/30)</f>
        <v>0.44000000000000006</v>
      </c>
      <c r="I42" s="65">
        <f>SUM(F42*14.82/30)</f>
        <v>19.759999999999998</v>
      </c>
      <c r="J42" s="65">
        <f>SUM(F42*68.97/30)</f>
        <v>91.960000000000008</v>
      </c>
      <c r="K42" s="36" t="s">
        <v>46</v>
      </c>
      <c r="L42" s="44"/>
    </row>
    <row r="43" spans="1:12" ht="18" customHeight="1" x14ac:dyDescent="0.25">
      <c r="A43" s="8" t="s">
        <v>26</v>
      </c>
      <c r="B43" s="8" t="s">
        <v>26</v>
      </c>
      <c r="C43" s="8" t="s">
        <v>26</v>
      </c>
      <c r="D43" s="10"/>
      <c r="E43" s="50"/>
      <c r="F43" s="25"/>
      <c r="G43" s="61"/>
      <c r="H43" s="61"/>
      <c r="I43" s="61"/>
      <c r="J43" s="61"/>
      <c r="K43" s="36"/>
      <c r="L43" s="44"/>
    </row>
    <row r="44" spans="1:12" ht="18" customHeight="1" x14ac:dyDescent="0.25">
      <c r="A44" s="8" t="s">
        <v>26</v>
      </c>
      <c r="B44" s="8" t="s">
        <v>26</v>
      </c>
      <c r="C44" s="8" t="s">
        <v>26</v>
      </c>
      <c r="D44" s="10"/>
      <c r="E44" s="50"/>
      <c r="F44" s="25"/>
      <c r="G44" s="61"/>
      <c r="H44" s="61"/>
      <c r="I44" s="61"/>
      <c r="J44" s="61"/>
      <c r="K44" s="36"/>
      <c r="L44" s="44"/>
    </row>
    <row r="45" spans="1:12" ht="18" customHeight="1" x14ac:dyDescent="0.25">
      <c r="A45" s="11"/>
      <c r="B45" s="11"/>
      <c r="C45" s="11" t="s">
        <v>29</v>
      </c>
      <c r="D45" s="12"/>
      <c r="E45" s="51"/>
      <c r="F45" s="27">
        <f>SUM(F36:F44)</f>
        <v>970</v>
      </c>
      <c r="G45" s="62">
        <f>SUM(G36:G44)</f>
        <v>40.230000000000011</v>
      </c>
      <c r="H45" s="62">
        <f>SUM(H36:H44)</f>
        <v>33.718333333333334</v>
      </c>
      <c r="I45" s="62">
        <f>SUM(I36:I44)</f>
        <v>134.51</v>
      </c>
      <c r="J45" s="62">
        <f>SUM(J36:J44)</f>
        <v>1019.2516666666667</v>
      </c>
      <c r="K45" s="37"/>
      <c r="L45" s="45">
        <f>SUM(L36:L44)</f>
        <v>0</v>
      </c>
    </row>
    <row r="46" spans="1:12" ht="18" customHeight="1" x14ac:dyDescent="0.25">
      <c r="A46" s="5">
        <v>1</v>
      </c>
      <c r="B46" s="5">
        <v>2</v>
      </c>
      <c r="C46" s="5" t="s">
        <v>38</v>
      </c>
      <c r="D46" s="6" t="s">
        <v>39</v>
      </c>
      <c r="E46" s="53" t="s">
        <v>79</v>
      </c>
      <c r="F46" s="73">
        <v>100</v>
      </c>
      <c r="G46" s="72">
        <f>F46*10.3/100</f>
        <v>10.3</v>
      </c>
      <c r="H46" s="72">
        <f>F46*14.6/100</f>
        <v>14.6</v>
      </c>
      <c r="I46" s="72">
        <f>F46*22.9/100</f>
        <v>22.9</v>
      </c>
      <c r="J46" s="72">
        <f>F46*265/100</f>
        <v>265</v>
      </c>
      <c r="K46" s="36" t="s">
        <v>81</v>
      </c>
      <c r="L46" s="44"/>
    </row>
    <row r="47" spans="1:12" ht="18" customHeight="1" x14ac:dyDescent="0.25">
      <c r="A47" s="8" t="s">
        <v>26</v>
      </c>
      <c r="B47" s="8" t="s">
        <v>26</v>
      </c>
      <c r="C47" s="8" t="s">
        <v>26</v>
      </c>
      <c r="D47" s="6" t="s">
        <v>35</v>
      </c>
      <c r="E47" s="50" t="s">
        <v>80</v>
      </c>
      <c r="F47" s="31">
        <v>200</v>
      </c>
      <c r="G47" s="63">
        <v>0.4</v>
      </c>
      <c r="H47" s="63">
        <v>0.4</v>
      </c>
      <c r="I47" s="63">
        <v>18.399999999999999</v>
      </c>
      <c r="J47" s="63">
        <v>80</v>
      </c>
      <c r="K47" s="36" t="s">
        <v>82</v>
      </c>
      <c r="L47" s="44"/>
    </row>
    <row r="48" spans="1:12" ht="18" customHeight="1" x14ac:dyDescent="0.25">
      <c r="A48" s="11"/>
      <c r="B48" s="11"/>
      <c r="C48" s="11" t="s">
        <v>29</v>
      </c>
      <c r="D48" s="12"/>
      <c r="E48" s="51"/>
      <c r="F48" s="27">
        <f>SUM(F46:F47)</f>
        <v>300</v>
      </c>
      <c r="G48" s="62">
        <f>SUM(G46:G47)</f>
        <v>10.700000000000001</v>
      </c>
      <c r="H48" s="62">
        <f>SUM(H46:H47)</f>
        <v>15</v>
      </c>
      <c r="I48" s="62">
        <f>SUM(I46:I47)</f>
        <v>41.3</v>
      </c>
      <c r="J48" s="62">
        <f>SUM(J46:J47)</f>
        <v>345</v>
      </c>
      <c r="K48" s="37"/>
      <c r="L48" s="45">
        <f>SUM(L46:L47)</f>
        <v>0</v>
      </c>
    </row>
    <row r="49" spans="1:12" ht="18" customHeight="1" x14ac:dyDescent="0.25">
      <c r="A49" s="13"/>
      <c r="B49" s="13"/>
      <c r="C49" s="13" t="s">
        <v>40</v>
      </c>
      <c r="D49" s="14"/>
      <c r="E49" s="52"/>
      <c r="F49" s="28">
        <f>F35+F45+F48</f>
        <v>1840</v>
      </c>
      <c r="G49" s="64">
        <f>G35+G45+G48</f>
        <v>74.035000000000011</v>
      </c>
      <c r="H49" s="64">
        <f>H35+H45+H48</f>
        <v>80.298333333333332</v>
      </c>
      <c r="I49" s="64">
        <f>I35+I45+I48</f>
        <v>287.76</v>
      </c>
      <c r="J49" s="64">
        <f>J35+J45+J48</f>
        <v>2189.2016666666668</v>
      </c>
      <c r="K49" s="38"/>
      <c r="L49" s="46">
        <f>L35+L45+L48</f>
        <v>0</v>
      </c>
    </row>
    <row r="50" spans="1:12" ht="18" customHeight="1" x14ac:dyDescent="0.25">
      <c r="A50" s="5">
        <v>1</v>
      </c>
      <c r="B50" s="5">
        <v>3</v>
      </c>
      <c r="C50" s="5" t="s">
        <v>24</v>
      </c>
      <c r="D50" s="6" t="s">
        <v>25</v>
      </c>
      <c r="E50" s="53" t="s">
        <v>83</v>
      </c>
      <c r="F50" s="17">
        <v>250</v>
      </c>
      <c r="G50" s="65">
        <f>F50*5.5/200</f>
        <v>6.875</v>
      </c>
      <c r="H50" s="65">
        <f>F50*9.9/200</f>
        <v>12.375</v>
      </c>
      <c r="I50" s="65">
        <f>F50*39.26/200</f>
        <v>49.075000000000003</v>
      </c>
      <c r="J50" s="65">
        <f>F50*268/200</f>
        <v>335</v>
      </c>
      <c r="K50" s="36" t="s">
        <v>90</v>
      </c>
      <c r="L50" s="44"/>
    </row>
    <row r="51" spans="1:12" ht="18" customHeight="1" x14ac:dyDescent="0.25">
      <c r="A51" s="8" t="s">
        <v>26</v>
      </c>
      <c r="B51" s="8" t="s">
        <v>26</v>
      </c>
      <c r="C51" s="8" t="s">
        <v>26</v>
      </c>
      <c r="D51" s="10" t="s">
        <v>36</v>
      </c>
      <c r="E51" s="53" t="s">
        <v>84</v>
      </c>
      <c r="F51" s="17">
        <v>65</v>
      </c>
      <c r="G51" s="65">
        <f>F51*5/45</f>
        <v>7.2222222222222223</v>
      </c>
      <c r="H51" s="65">
        <f>F51*6.6/45</f>
        <v>9.5333333333333332</v>
      </c>
      <c r="I51" s="65">
        <f>F51*17/45</f>
        <v>24.555555555555557</v>
      </c>
      <c r="J51" s="65">
        <f>F51*149/45</f>
        <v>215.22222222222223</v>
      </c>
      <c r="K51" s="36" t="s">
        <v>91</v>
      </c>
      <c r="L51" s="44"/>
    </row>
    <row r="52" spans="1:12" ht="18" customHeight="1" x14ac:dyDescent="0.25">
      <c r="A52" s="8" t="s">
        <v>26</v>
      </c>
      <c r="B52" s="8" t="s">
        <v>26</v>
      </c>
      <c r="C52" s="8" t="s">
        <v>26</v>
      </c>
      <c r="D52" s="6" t="s">
        <v>27</v>
      </c>
      <c r="E52" s="53" t="s">
        <v>85</v>
      </c>
      <c r="F52" s="17">
        <v>200</v>
      </c>
      <c r="G52" s="65">
        <v>3.6</v>
      </c>
      <c r="H52" s="65">
        <v>3.3</v>
      </c>
      <c r="I52" s="65">
        <v>22.8</v>
      </c>
      <c r="J52" s="65">
        <v>135</v>
      </c>
      <c r="K52" s="36" t="s">
        <v>92</v>
      </c>
      <c r="L52" s="44"/>
    </row>
    <row r="53" spans="1:12" ht="18" customHeight="1" x14ac:dyDescent="0.25">
      <c r="A53" s="8" t="s">
        <v>26</v>
      </c>
      <c r="B53" s="8" t="s">
        <v>26</v>
      </c>
      <c r="C53" s="8" t="s">
        <v>26</v>
      </c>
      <c r="D53" s="6" t="s">
        <v>37</v>
      </c>
      <c r="E53" s="53" t="s">
        <v>45</v>
      </c>
      <c r="F53" s="17">
        <v>50</v>
      </c>
      <c r="G53" s="65">
        <f>SUM(F53*1.68/30)</f>
        <v>2.8</v>
      </c>
      <c r="H53" s="65">
        <f>SUM(F53*0.33/30)</f>
        <v>0.55000000000000004</v>
      </c>
      <c r="I53" s="65">
        <f>SUM(F53*14.82/30)</f>
        <v>24.7</v>
      </c>
      <c r="J53" s="65">
        <f>SUM(F53*68.97/30)</f>
        <v>114.95</v>
      </c>
      <c r="K53" s="36" t="s">
        <v>46</v>
      </c>
      <c r="L53" s="44"/>
    </row>
    <row r="54" spans="1:12" ht="18" customHeight="1" x14ac:dyDescent="0.25">
      <c r="A54" s="8" t="s">
        <v>26</v>
      </c>
      <c r="B54" s="8" t="s">
        <v>26</v>
      </c>
      <c r="C54" s="8" t="s">
        <v>26</v>
      </c>
      <c r="D54" s="6"/>
      <c r="E54" s="50"/>
      <c r="F54" s="25"/>
      <c r="G54" s="61"/>
      <c r="H54" s="61"/>
      <c r="I54" s="61"/>
      <c r="J54" s="61"/>
      <c r="K54" s="36"/>
      <c r="L54" s="44"/>
    </row>
    <row r="55" spans="1:12" ht="18" customHeight="1" x14ac:dyDescent="0.25">
      <c r="A55" s="8" t="s">
        <v>26</v>
      </c>
      <c r="B55" s="8" t="s">
        <v>26</v>
      </c>
      <c r="C55" s="8" t="s">
        <v>26</v>
      </c>
      <c r="D55" s="10"/>
      <c r="E55" s="50"/>
      <c r="F55" s="25"/>
      <c r="G55" s="61"/>
      <c r="H55" s="61"/>
      <c r="I55" s="61"/>
      <c r="J55" s="61"/>
      <c r="K55" s="36"/>
      <c r="L55" s="44"/>
    </row>
    <row r="56" spans="1:12" ht="18" customHeight="1" x14ac:dyDescent="0.25">
      <c r="A56" s="8" t="s">
        <v>26</v>
      </c>
      <c r="B56" s="8" t="s">
        <v>26</v>
      </c>
      <c r="C56" s="8" t="s">
        <v>26</v>
      </c>
      <c r="D56" s="10"/>
      <c r="E56" s="50"/>
      <c r="F56" s="25"/>
      <c r="G56" s="61"/>
      <c r="H56" s="61"/>
      <c r="I56" s="61"/>
      <c r="J56" s="61"/>
      <c r="K56" s="36"/>
      <c r="L56" s="44"/>
    </row>
    <row r="57" spans="1:12" ht="18" customHeight="1" x14ac:dyDescent="0.25">
      <c r="A57" s="11"/>
      <c r="B57" s="11"/>
      <c r="C57" s="11" t="s">
        <v>29</v>
      </c>
      <c r="D57" s="12"/>
      <c r="E57" s="51"/>
      <c r="F57" s="27">
        <f>SUM(F50:F56)</f>
        <v>565</v>
      </c>
      <c r="G57" s="62">
        <f>SUM(G50:G56)</f>
        <v>20.497222222222224</v>
      </c>
      <c r="H57" s="62">
        <f>SUM(H50:H56)</f>
        <v>25.758333333333333</v>
      </c>
      <c r="I57" s="62">
        <f>SUM(I50:I56)</f>
        <v>121.13055555555556</v>
      </c>
      <c r="J57" s="62">
        <f>SUM(J50:J56)</f>
        <v>800.17222222222222</v>
      </c>
      <c r="K57" s="37"/>
      <c r="L57" s="45">
        <f>SUM(L50:L56)</f>
        <v>0</v>
      </c>
    </row>
    <row r="58" spans="1:12" ht="18" customHeight="1" x14ac:dyDescent="0.25">
      <c r="A58" s="5">
        <v>1</v>
      </c>
      <c r="B58" s="5">
        <v>3</v>
      </c>
      <c r="C58" s="5" t="s">
        <v>30</v>
      </c>
      <c r="D58" s="6" t="s">
        <v>31</v>
      </c>
      <c r="E58" s="34" t="s">
        <v>86</v>
      </c>
      <c r="F58" s="17">
        <v>80</v>
      </c>
      <c r="G58" s="65">
        <f>F58*1.4/100</f>
        <v>1.1200000000000001</v>
      </c>
      <c r="H58" s="65">
        <f>F58*6/100</f>
        <v>4.8</v>
      </c>
      <c r="I58" s="65">
        <f>F58*6.8/100</f>
        <v>5.44</v>
      </c>
      <c r="J58" s="65">
        <f>F58*87/100</f>
        <v>69.599999999999994</v>
      </c>
      <c r="K58" s="36" t="s">
        <v>93</v>
      </c>
      <c r="L58" s="44"/>
    </row>
    <row r="59" spans="1:12" ht="18" customHeight="1" x14ac:dyDescent="0.25">
      <c r="A59" s="8" t="s">
        <v>26</v>
      </c>
      <c r="B59" s="8" t="s">
        <v>26</v>
      </c>
      <c r="C59" s="8" t="s">
        <v>26</v>
      </c>
      <c r="D59" s="6" t="s">
        <v>32</v>
      </c>
      <c r="E59" s="34" t="s">
        <v>99</v>
      </c>
      <c r="F59" s="17">
        <v>250</v>
      </c>
      <c r="G59" s="65">
        <f>F59*2.5/250+1.6</f>
        <v>4.0999999999999996</v>
      </c>
      <c r="H59" s="65">
        <f>F59*5.4/250+1.7</f>
        <v>7.1000000000000005</v>
      </c>
      <c r="I59" s="65">
        <f>F59*16.6/250</f>
        <v>16.600000000000001</v>
      </c>
      <c r="J59" s="65">
        <f>F59*125/250+22</f>
        <v>147</v>
      </c>
      <c r="K59" s="36" t="s">
        <v>94</v>
      </c>
      <c r="L59" s="44"/>
    </row>
    <row r="60" spans="1:12" ht="18" customHeight="1" x14ac:dyDescent="0.25">
      <c r="A60" s="8" t="s">
        <v>26</v>
      </c>
      <c r="B60" s="8" t="s">
        <v>26</v>
      </c>
      <c r="C60" s="8" t="s">
        <v>26</v>
      </c>
      <c r="D60" s="6" t="s">
        <v>33</v>
      </c>
      <c r="E60" s="34" t="s">
        <v>87</v>
      </c>
      <c r="F60" s="17">
        <v>130</v>
      </c>
      <c r="G60" s="65">
        <f>F60*13.1/130+1.5</f>
        <v>14.6</v>
      </c>
      <c r="H60" s="65">
        <f>F60*9.2/130+5.5</f>
        <v>14.7</v>
      </c>
      <c r="I60" s="65">
        <f>F60*11.8/130</f>
        <v>11.8</v>
      </c>
      <c r="J60" s="65">
        <v>223.83</v>
      </c>
      <c r="K60" s="36" t="s">
        <v>95</v>
      </c>
      <c r="L60" s="44"/>
    </row>
    <row r="61" spans="1:12" ht="18" customHeight="1" x14ac:dyDescent="0.25">
      <c r="A61" s="8" t="s">
        <v>26</v>
      </c>
      <c r="B61" s="8" t="s">
        <v>26</v>
      </c>
      <c r="C61" s="8" t="s">
        <v>26</v>
      </c>
      <c r="D61" s="6" t="s">
        <v>34</v>
      </c>
      <c r="E61" s="34" t="s">
        <v>88</v>
      </c>
      <c r="F61" s="17">
        <v>200</v>
      </c>
      <c r="G61" s="65">
        <f>F61*4.2/200</f>
        <v>4.2</v>
      </c>
      <c r="H61" s="65">
        <f>F61*4.9/200</f>
        <v>4.9000000000000004</v>
      </c>
      <c r="I61" s="65">
        <f>F61*27.2/200</f>
        <v>27.2</v>
      </c>
      <c r="J61" s="65">
        <f>F61*170/200</f>
        <v>170</v>
      </c>
      <c r="K61" s="36" t="s">
        <v>96</v>
      </c>
      <c r="L61" s="44"/>
    </row>
    <row r="62" spans="1:12" ht="18" customHeight="1" x14ac:dyDescent="0.25">
      <c r="A62" s="8" t="s">
        <v>26</v>
      </c>
      <c r="B62" s="8" t="s">
        <v>26</v>
      </c>
      <c r="C62" s="8" t="s">
        <v>26</v>
      </c>
      <c r="D62" s="6" t="s">
        <v>35</v>
      </c>
      <c r="E62" s="34" t="s">
        <v>89</v>
      </c>
      <c r="F62" s="17">
        <v>200</v>
      </c>
      <c r="G62" s="65">
        <v>0</v>
      </c>
      <c r="H62" s="65">
        <v>0</v>
      </c>
      <c r="I62" s="65">
        <v>27.8</v>
      </c>
      <c r="J62" s="65">
        <v>111</v>
      </c>
      <c r="K62" s="36" t="s">
        <v>97</v>
      </c>
      <c r="L62" s="44"/>
    </row>
    <row r="63" spans="1:12" ht="18" customHeight="1" x14ac:dyDescent="0.25">
      <c r="A63" s="8" t="s">
        <v>26</v>
      </c>
      <c r="B63" s="8" t="s">
        <v>26</v>
      </c>
      <c r="C63" s="8" t="s">
        <v>26</v>
      </c>
      <c r="D63" s="6" t="s">
        <v>36</v>
      </c>
      <c r="E63" s="34" t="s">
        <v>52</v>
      </c>
      <c r="F63" s="70">
        <v>50</v>
      </c>
      <c r="G63" s="65">
        <f>SUM(F63*2.37/30)</f>
        <v>3.95</v>
      </c>
      <c r="H63" s="65">
        <f>SUM(F63*0.3/30)</f>
        <v>0.5</v>
      </c>
      <c r="I63" s="65">
        <f>SUM(F63*14.49/30)</f>
        <v>24.15</v>
      </c>
      <c r="J63" s="65">
        <f>SUM(F63*70.14/30)</f>
        <v>116.9</v>
      </c>
      <c r="K63" s="36" t="s">
        <v>46</v>
      </c>
      <c r="L63" s="44"/>
    </row>
    <row r="64" spans="1:12" ht="18" customHeight="1" x14ac:dyDescent="0.25">
      <c r="A64" s="8" t="s">
        <v>26</v>
      </c>
      <c r="B64" s="8" t="s">
        <v>26</v>
      </c>
      <c r="C64" s="8" t="s">
        <v>26</v>
      </c>
      <c r="D64" s="6" t="s">
        <v>37</v>
      </c>
      <c r="E64" s="34" t="s">
        <v>45</v>
      </c>
      <c r="F64" s="70">
        <v>50</v>
      </c>
      <c r="G64" s="65">
        <f>SUM(F64*1.68/30)</f>
        <v>2.8</v>
      </c>
      <c r="H64" s="65">
        <f>SUM(F64*0.33/30)</f>
        <v>0.55000000000000004</v>
      </c>
      <c r="I64" s="65">
        <f>SUM(F64*14.82/30)</f>
        <v>24.7</v>
      </c>
      <c r="J64" s="65">
        <f>SUM(F64*68.97/30)</f>
        <v>114.95</v>
      </c>
      <c r="K64" s="36" t="s">
        <v>46</v>
      </c>
      <c r="L64" s="44"/>
    </row>
    <row r="65" spans="1:12" ht="18" customHeight="1" x14ac:dyDescent="0.25">
      <c r="A65" s="8" t="s">
        <v>26</v>
      </c>
      <c r="B65" s="8" t="s">
        <v>26</v>
      </c>
      <c r="C65" s="8" t="s">
        <v>26</v>
      </c>
      <c r="D65" s="10"/>
      <c r="E65" s="50"/>
      <c r="F65" s="25"/>
      <c r="G65" s="61"/>
      <c r="H65" s="61"/>
      <c r="I65" s="61"/>
      <c r="J65" s="61"/>
      <c r="K65" s="36"/>
      <c r="L65" s="44"/>
    </row>
    <row r="66" spans="1:12" ht="18" customHeight="1" x14ac:dyDescent="0.25">
      <c r="A66" s="8" t="s">
        <v>26</v>
      </c>
      <c r="B66" s="8" t="s">
        <v>26</v>
      </c>
      <c r="C66" s="8" t="s">
        <v>26</v>
      </c>
      <c r="D66" s="10"/>
      <c r="E66" s="50"/>
      <c r="F66" s="25"/>
      <c r="G66" s="61"/>
      <c r="H66" s="61"/>
      <c r="I66" s="61"/>
      <c r="J66" s="61"/>
      <c r="K66" s="36"/>
      <c r="L66" s="44"/>
    </row>
    <row r="67" spans="1:12" ht="18" customHeight="1" x14ac:dyDescent="0.25">
      <c r="A67" s="11"/>
      <c r="B67" s="11"/>
      <c r="C67" s="11" t="s">
        <v>29</v>
      </c>
      <c r="D67" s="12"/>
      <c r="E67" s="51"/>
      <c r="F67" s="27">
        <f>SUM(F58:F66)</f>
        <v>960</v>
      </c>
      <c r="G67" s="62">
        <f>SUM(G58:G66)</f>
        <v>30.77</v>
      </c>
      <c r="H67" s="62">
        <f>SUM(H58:H66)</f>
        <v>32.549999999999997</v>
      </c>
      <c r="I67" s="62">
        <f>SUM(I58:I66)</f>
        <v>137.69</v>
      </c>
      <c r="J67" s="62">
        <f>SUM(J58:J66)</f>
        <v>953.28000000000009</v>
      </c>
      <c r="K67" s="37"/>
      <c r="L67" s="45">
        <f>SUM(L58:L66)</f>
        <v>0</v>
      </c>
    </row>
    <row r="68" spans="1:12" ht="18" customHeight="1" x14ac:dyDescent="0.25">
      <c r="A68" s="5">
        <v>1</v>
      </c>
      <c r="B68" s="5">
        <v>3</v>
      </c>
      <c r="C68" s="5" t="s">
        <v>38</v>
      </c>
      <c r="D68" s="6" t="s">
        <v>39</v>
      </c>
      <c r="E68" s="34" t="s">
        <v>100</v>
      </c>
      <c r="F68" s="74">
        <v>100</v>
      </c>
      <c r="G68" s="65">
        <f>F68*6.1/50</f>
        <v>12.2</v>
      </c>
      <c r="H68" s="65">
        <f>F68*3.7/50</f>
        <v>7.4</v>
      </c>
      <c r="I68" s="65">
        <f>F68*17.5/50</f>
        <v>35</v>
      </c>
      <c r="J68" s="65">
        <f>F68*130/50</f>
        <v>260</v>
      </c>
      <c r="K68" s="36" t="s">
        <v>101</v>
      </c>
      <c r="L68" s="44"/>
    </row>
    <row r="69" spans="1:12" ht="18" customHeight="1" x14ac:dyDescent="0.25">
      <c r="A69" s="8" t="s">
        <v>26</v>
      </c>
      <c r="B69" s="8" t="s">
        <v>26</v>
      </c>
      <c r="C69" s="8" t="s">
        <v>26</v>
      </c>
      <c r="D69" s="6" t="s">
        <v>35</v>
      </c>
      <c r="E69" s="50" t="s">
        <v>58</v>
      </c>
      <c r="F69" s="25">
        <v>200</v>
      </c>
      <c r="G69" s="61">
        <v>1</v>
      </c>
      <c r="H69" s="61">
        <v>0.1</v>
      </c>
      <c r="I69" s="61">
        <v>19.8</v>
      </c>
      <c r="J69" s="61">
        <v>84</v>
      </c>
      <c r="K69" s="36" t="s">
        <v>61</v>
      </c>
      <c r="L69" s="44"/>
    </row>
    <row r="70" spans="1:12" ht="18" customHeight="1" x14ac:dyDescent="0.25">
      <c r="A70" s="8"/>
      <c r="B70" s="8"/>
      <c r="C70" s="8"/>
      <c r="D70" s="6" t="s">
        <v>28</v>
      </c>
      <c r="E70" s="50" t="s">
        <v>60</v>
      </c>
      <c r="F70" s="25">
        <v>100</v>
      </c>
      <c r="G70" s="61">
        <v>0.4</v>
      </c>
      <c r="H70" s="61">
        <v>0.4</v>
      </c>
      <c r="I70" s="61">
        <v>9.8000000000000007</v>
      </c>
      <c r="J70" s="61">
        <v>47</v>
      </c>
      <c r="K70" s="36" t="s">
        <v>46</v>
      </c>
      <c r="L70" s="44"/>
    </row>
    <row r="71" spans="1:12" ht="18" customHeight="1" x14ac:dyDescent="0.25">
      <c r="A71" s="11"/>
      <c r="B71" s="11"/>
      <c r="C71" s="11" t="s">
        <v>29</v>
      </c>
      <c r="D71" s="12"/>
      <c r="E71" s="51"/>
      <c r="F71" s="27">
        <f>SUM(F68:F70)</f>
        <v>400</v>
      </c>
      <c r="G71" s="62">
        <f t="shared" ref="G71:J71" si="1">SUM(G68:G70)</f>
        <v>13.6</v>
      </c>
      <c r="H71" s="62">
        <f t="shared" si="1"/>
        <v>7.9</v>
      </c>
      <c r="I71" s="62">
        <f t="shared" si="1"/>
        <v>64.599999999999994</v>
      </c>
      <c r="J71" s="62">
        <f t="shared" si="1"/>
        <v>391</v>
      </c>
      <c r="K71" s="37"/>
      <c r="L71" s="45">
        <f>SUM(L68:L69)</f>
        <v>0</v>
      </c>
    </row>
    <row r="72" spans="1:12" ht="18" customHeight="1" x14ac:dyDescent="0.25">
      <c r="A72" s="13"/>
      <c r="B72" s="13"/>
      <c r="C72" s="13" t="s">
        <v>40</v>
      </c>
      <c r="D72" s="14"/>
      <c r="E72" s="52"/>
      <c r="F72" s="28">
        <f>F57+F67+F71</f>
        <v>1925</v>
      </c>
      <c r="G72" s="64">
        <f>G57+G67+G71</f>
        <v>64.867222222222225</v>
      </c>
      <c r="H72" s="64">
        <f>H57+H67+H71</f>
        <v>66.208333333333329</v>
      </c>
      <c r="I72" s="64">
        <f>I57+I67+I71</f>
        <v>323.42055555555555</v>
      </c>
      <c r="J72" s="64">
        <f>J57+J67+J71</f>
        <v>2144.4522222222222</v>
      </c>
      <c r="K72" s="38"/>
      <c r="L72" s="46">
        <f>L57+L67+L71</f>
        <v>0</v>
      </c>
    </row>
    <row r="73" spans="1:12" ht="18" customHeight="1" x14ac:dyDescent="0.25">
      <c r="A73" s="5">
        <v>1</v>
      </c>
      <c r="B73" s="5">
        <v>4</v>
      </c>
      <c r="C73" s="5" t="s">
        <v>24</v>
      </c>
      <c r="D73" s="6" t="s">
        <v>25</v>
      </c>
      <c r="E73" s="34" t="s">
        <v>102</v>
      </c>
      <c r="F73" s="17">
        <v>250</v>
      </c>
      <c r="G73" s="65">
        <f>F73*19.5/200</f>
        <v>24.375</v>
      </c>
      <c r="H73" s="65">
        <f>F73*21.2/200</f>
        <v>26.5</v>
      </c>
      <c r="I73" s="65">
        <f>F73*17.7/200</f>
        <v>22.125</v>
      </c>
      <c r="J73" s="65">
        <f>F73*339.6/200</f>
        <v>424.5</v>
      </c>
      <c r="K73" s="36" t="s">
        <v>113</v>
      </c>
      <c r="L73" s="44"/>
    </row>
    <row r="74" spans="1:12" ht="18" customHeight="1" x14ac:dyDescent="0.25">
      <c r="A74" s="8" t="s">
        <v>26</v>
      </c>
      <c r="B74" s="8" t="s">
        <v>26</v>
      </c>
      <c r="C74" s="8" t="s">
        <v>26</v>
      </c>
      <c r="D74" s="10" t="s">
        <v>36</v>
      </c>
      <c r="E74" s="34" t="s">
        <v>65</v>
      </c>
      <c r="F74" s="17">
        <v>50</v>
      </c>
      <c r="G74" s="65">
        <f>3.2*F74/50</f>
        <v>3.2</v>
      </c>
      <c r="H74" s="65">
        <f>7.7*F74/50</f>
        <v>7.7</v>
      </c>
      <c r="I74" s="65">
        <f>19.5*F74/50</f>
        <v>19.5</v>
      </c>
      <c r="J74" s="65">
        <f>F74*160/50</f>
        <v>160</v>
      </c>
      <c r="K74" s="36" t="s">
        <v>73</v>
      </c>
      <c r="L74" s="44"/>
    </row>
    <row r="75" spans="1:12" ht="18" customHeight="1" x14ac:dyDescent="0.25">
      <c r="A75" s="8" t="s">
        <v>26</v>
      </c>
      <c r="B75" s="8" t="s">
        <v>26</v>
      </c>
      <c r="C75" s="8" t="s">
        <v>26</v>
      </c>
      <c r="D75" s="6" t="s">
        <v>27</v>
      </c>
      <c r="E75" s="34" t="s">
        <v>103</v>
      </c>
      <c r="F75" s="75">
        <v>200</v>
      </c>
      <c r="G75" s="65">
        <v>0.1</v>
      </c>
      <c r="H75" s="65">
        <v>0</v>
      </c>
      <c r="I75" s="65">
        <v>9.8000000000000007</v>
      </c>
      <c r="J75" s="65">
        <v>39</v>
      </c>
      <c r="K75" s="36" t="s">
        <v>114</v>
      </c>
      <c r="L75" s="44"/>
    </row>
    <row r="76" spans="1:12" ht="18" customHeight="1" x14ac:dyDescent="0.25">
      <c r="A76" s="8" t="s">
        <v>26</v>
      </c>
      <c r="B76" s="8" t="s">
        <v>26</v>
      </c>
      <c r="C76" s="8" t="s">
        <v>26</v>
      </c>
      <c r="D76" s="6" t="s">
        <v>37</v>
      </c>
      <c r="E76" s="34" t="s">
        <v>45</v>
      </c>
      <c r="F76" s="70">
        <v>50</v>
      </c>
      <c r="G76" s="65">
        <f>SUM(F76*1.68/30)</f>
        <v>2.8</v>
      </c>
      <c r="H76" s="65">
        <f>SUM(F76*0.33/30)</f>
        <v>0.55000000000000004</v>
      </c>
      <c r="I76" s="65">
        <f>SUM(F76*14.82/30)</f>
        <v>24.7</v>
      </c>
      <c r="J76" s="65">
        <f>SUM(F76*68.97/30)</f>
        <v>114.95</v>
      </c>
      <c r="K76" s="36" t="s">
        <v>46</v>
      </c>
      <c r="L76" s="44"/>
    </row>
    <row r="77" spans="1:12" ht="18" customHeight="1" x14ac:dyDescent="0.25">
      <c r="A77" s="8" t="s">
        <v>26</v>
      </c>
      <c r="B77" s="8" t="s">
        <v>26</v>
      </c>
      <c r="C77" s="8" t="s">
        <v>26</v>
      </c>
      <c r="D77" s="10" t="s">
        <v>31</v>
      </c>
      <c r="E77" s="34" t="s">
        <v>183</v>
      </c>
      <c r="F77" s="68">
        <v>34</v>
      </c>
      <c r="G77" s="69">
        <f>F77*3/100</f>
        <v>1.02</v>
      </c>
      <c r="H77" s="69">
        <f>F77*4.1/100</f>
        <v>1.3939999999999997</v>
      </c>
      <c r="I77" s="69">
        <f>F77*6.4/100</f>
        <v>2.1760000000000002</v>
      </c>
      <c r="J77" s="69">
        <f>F77*75/100</f>
        <v>25.5</v>
      </c>
      <c r="K77" s="36" t="s">
        <v>182</v>
      </c>
      <c r="L77" s="44"/>
    </row>
    <row r="78" spans="1:12" ht="18" customHeight="1" x14ac:dyDescent="0.25">
      <c r="A78" s="8" t="s">
        <v>26</v>
      </c>
      <c r="B78" s="8" t="s">
        <v>26</v>
      </c>
      <c r="C78" s="8" t="s">
        <v>26</v>
      </c>
      <c r="D78" s="10"/>
      <c r="E78" s="50"/>
      <c r="F78" s="25"/>
      <c r="G78" s="61"/>
      <c r="H78" s="61"/>
      <c r="I78" s="61"/>
      <c r="J78" s="61"/>
      <c r="K78" s="36"/>
      <c r="L78" s="44"/>
    </row>
    <row r="79" spans="1:12" ht="18" customHeight="1" x14ac:dyDescent="0.25">
      <c r="A79" s="11"/>
      <c r="B79" s="11"/>
      <c r="C79" s="11" t="s">
        <v>29</v>
      </c>
      <c r="D79" s="12"/>
      <c r="E79" s="51"/>
      <c r="F79" s="27">
        <f>SUM(F73:F78)</f>
        <v>584</v>
      </c>
      <c r="G79" s="62">
        <f>SUM(G73:G78)</f>
        <v>31.495000000000001</v>
      </c>
      <c r="H79" s="62">
        <f>SUM(H73:H78)</f>
        <v>36.143999999999998</v>
      </c>
      <c r="I79" s="62">
        <f>SUM(I73:I78)</f>
        <v>78.301000000000002</v>
      </c>
      <c r="J79" s="62">
        <f>SUM(J73:J78)</f>
        <v>763.95</v>
      </c>
      <c r="K79" s="37"/>
      <c r="L79" s="45">
        <f>SUM(L73:L78)</f>
        <v>0</v>
      </c>
    </row>
    <row r="80" spans="1:12" ht="18" customHeight="1" x14ac:dyDescent="0.25">
      <c r="A80" s="5">
        <v>1</v>
      </c>
      <c r="B80" s="5">
        <v>4</v>
      </c>
      <c r="C80" s="5" t="s">
        <v>30</v>
      </c>
      <c r="D80" s="6" t="s">
        <v>31</v>
      </c>
      <c r="E80" s="34" t="s">
        <v>104</v>
      </c>
      <c r="F80" s="74">
        <v>80</v>
      </c>
      <c r="G80" s="65">
        <f>F80*1/100</f>
        <v>0.8</v>
      </c>
      <c r="H80" s="65">
        <f>F80*10/100</f>
        <v>8</v>
      </c>
      <c r="I80" s="65">
        <f>F80*7.9/100</f>
        <v>6.32</v>
      </c>
      <c r="J80" s="65">
        <f>F80*125.73/100</f>
        <v>100.584</v>
      </c>
      <c r="K80" s="36" t="s">
        <v>115</v>
      </c>
      <c r="L80" s="44"/>
    </row>
    <row r="81" spans="1:12" ht="18" customHeight="1" x14ac:dyDescent="0.25">
      <c r="A81" s="8" t="s">
        <v>26</v>
      </c>
      <c r="B81" s="8" t="s">
        <v>26</v>
      </c>
      <c r="C81" s="8" t="s">
        <v>26</v>
      </c>
      <c r="D81" s="6" t="s">
        <v>32</v>
      </c>
      <c r="E81" s="34" t="s">
        <v>109</v>
      </c>
      <c r="F81" s="74">
        <v>200</v>
      </c>
      <c r="G81" s="65">
        <f>F81*1.9/250+1.6</f>
        <v>3.12</v>
      </c>
      <c r="H81" s="65">
        <f>F81*5.2/250+1.7</f>
        <v>5.86</v>
      </c>
      <c r="I81" s="65">
        <f>F81*9/250+0.6</f>
        <v>7.8</v>
      </c>
      <c r="J81" s="65">
        <f>F81*90.4/250+22</f>
        <v>94.32</v>
      </c>
      <c r="K81" s="36" t="s">
        <v>116</v>
      </c>
      <c r="L81" s="44"/>
    </row>
    <row r="82" spans="1:12" ht="18" customHeight="1" x14ac:dyDescent="0.25">
      <c r="A82" s="8" t="s">
        <v>26</v>
      </c>
      <c r="B82" s="8" t="s">
        <v>26</v>
      </c>
      <c r="C82" s="8" t="s">
        <v>26</v>
      </c>
      <c r="D82" s="6" t="s">
        <v>33</v>
      </c>
      <c r="E82" s="34" t="s">
        <v>105</v>
      </c>
      <c r="F82" s="76">
        <v>90</v>
      </c>
      <c r="G82" s="65">
        <f>19.1*F82/100</f>
        <v>17.190000000000001</v>
      </c>
      <c r="H82" s="65">
        <f>15.9*F82/100</f>
        <v>14.31</v>
      </c>
      <c r="I82" s="65">
        <f>0.2*F82/100</f>
        <v>0.18</v>
      </c>
      <c r="J82" s="65">
        <f>F82*198/90</f>
        <v>198</v>
      </c>
      <c r="K82" s="36" t="s">
        <v>117</v>
      </c>
      <c r="L82" s="44"/>
    </row>
    <row r="83" spans="1:12" ht="18" customHeight="1" x14ac:dyDescent="0.25">
      <c r="A83" s="8" t="s">
        <v>26</v>
      </c>
      <c r="B83" s="8" t="s">
        <v>26</v>
      </c>
      <c r="C83" s="8" t="s">
        <v>26</v>
      </c>
      <c r="D83" s="6" t="s">
        <v>34</v>
      </c>
      <c r="E83" s="34" t="s">
        <v>106</v>
      </c>
      <c r="F83" s="76">
        <v>170</v>
      </c>
      <c r="G83" s="65">
        <f>F83*7.1/200</f>
        <v>6.0350000000000001</v>
      </c>
      <c r="H83" s="65">
        <f>F83*4/200</f>
        <v>3.4</v>
      </c>
      <c r="I83" s="65">
        <f>F83*43.2/200</f>
        <v>36.720000000000006</v>
      </c>
      <c r="J83" s="65">
        <f>F83*237/200</f>
        <v>201.45</v>
      </c>
      <c r="K83" s="36" t="s">
        <v>118</v>
      </c>
      <c r="L83" s="44"/>
    </row>
    <row r="84" spans="1:12" ht="18" customHeight="1" x14ac:dyDescent="0.25">
      <c r="A84" s="8" t="s">
        <v>26</v>
      </c>
      <c r="B84" s="8" t="s">
        <v>26</v>
      </c>
      <c r="C84" s="8" t="s">
        <v>26</v>
      </c>
      <c r="D84" s="6" t="s">
        <v>35</v>
      </c>
      <c r="E84" s="34" t="s">
        <v>110</v>
      </c>
      <c r="F84" s="74">
        <v>200</v>
      </c>
      <c r="G84" s="65">
        <v>0.4</v>
      </c>
      <c r="H84" s="65">
        <v>0.4</v>
      </c>
      <c r="I84" s="65">
        <v>18.399999999999999</v>
      </c>
      <c r="J84" s="65">
        <v>80</v>
      </c>
      <c r="K84" s="36" t="s">
        <v>82</v>
      </c>
      <c r="L84" s="44"/>
    </row>
    <row r="85" spans="1:12" ht="18" customHeight="1" x14ac:dyDescent="0.25">
      <c r="A85" s="8" t="s">
        <v>26</v>
      </c>
      <c r="B85" s="8" t="s">
        <v>26</v>
      </c>
      <c r="C85" s="8" t="s">
        <v>26</v>
      </c>
      <c r="D85" s="6" t="s">
        <v>36</v>
      </c>
      <c r="E85" s="34" t="s">
        <v>52</v>
      </c>
      <c r="F85" s="77">
        <v>50</v>
      </c>
      <c r="G85" s="65">
        <f>SUM(F85*2.37/30)</f>
        <v>3.95</v>
      </c>
      <c r="H85" s="65">
        <f>SUM(F85*0.3/30)</f>
        <v>0.5</v>
      </c>
      <c r="I85" s="65">
        <f>SUM(F85*14.49/30)</f>
        <v>24.15</v>
      </c>
      <c r="J85" s="65">
        <f>SUM(F85*70.14/30)</f>
        <v>116.9</v>
      </c>
      <c r="K85" s="36" t="s">
        <v>46</v>
      </c>
      <c r="L85" s="44"/>
    </row>
    <row r="86" spans="1:12" ht="18" customHeight="1" x14ac:dyDescent="0.25">
      <c r="A86" s="8" t="s">
        <v>26</v>
      </c>
      <c r="B86" s="8" t="s">
        <v>26</v>
      </c>
      <c r="C86" s="8" t="s">
        <v>26</v>
      </c>
      <c r="D86" s="6" t="s">
        <v>37</v>
      </c>
      <c r="E86" s="34" t="s">
        <v>45</v>
      </c>
      <c r="F86" s="77">
        <v>50</v>
      </c>
      <c r="G86" s="65">
        <f>SUM(F86*1.68/30)</f>
        <v>2.8</v>
      </c>
      <c r="H86" s="65">
        <f>SUM(F86*0.33/30)</f>
        <v>0.55000000000000004</v>
      </c>
      <c r="I86" s="65">
        <f>SUM(F86*14.82/30)</f>
        <v>24.7</v>
      </c>
      <c r="J86" s="65">
        <f>SUM(F86*68.97/30)</f>
        <v>114.95</v>
      </c>
      <c r="K86" s="36" t="s">
        <v>46</v>
      </c>
      <c r="L86" s="44"/>
    </row>
    <row r="87" spans="1:12" ht="18" customHeight="1" x14ac:dyDescent="0.25">
      <c r="A87" s="8" t="s">
        <v>26</v>
      </c>
      <c r="B87" s="8" t="s">
        <v>26</v>
      </c>
      <c r="C87" s="8" t="s">
        <v>26</v>
      </c>
      <c r="D87" s="10"/>
      <c r="E87" s="50"/>
      <c r="F87" s="25"/>
      <c r="G87" s="61"/>
      <c r="H87" s="61"/>
      <c r="I87" s="61"/>
      <c r="J87" s="61"/>
      <c r="K87" s="36"/>
      <c r="L87" s="44"/>
    </row>
    <row r="88" spans="1:12" ht="18" customHeight="1" x14ac:dyDescent="0.25">
      <c r="A88" s="8" t="s">
        <v>26</v>
      </c>
      <c r="B88" s="8" t="s">
        <v>26</v>
      </c>
      <c r="C88" s="8" t="s">
        <v>26</v>
      </c>
      <c r="D88" s="10"/>
      <c r="E88" s="50"/>
      <c r="F88" s="25"/>
      <c r="G88" s="61"/>
      <c r="H88" s="61"/>
      <c r="I88" s="61"/>
      <c r="J88" s="61"/>
      <c r="K88" s="36"/>
      <c r="L88" s="44"/>
    </row>
    <row r="89" spans="1:12" ht="18" customHeight="1" x14ac:dyDescent="0.25">
      <c r="A89" s="11"/>
      <c r="B89" s="11"/>
      <c r="C89" s="11" t="s">
        <v>29</v>
      </c>
      <c r="D89" s="12"/>
      <c r="E89" s="51"/>
      <c r="F89" s="27">
        <f>SUM(F80:F88)</f>
        <v>840</v>
      </c>
      <c r="G89" s="62">
        <f>SUM(G80:G88)</f>
        <v>34.294999999999995</v>
      </c>
      <c r="H89" s="62">
        <f>SUM(H80:H88)</f>
        <v>33.019999999999996</v>
      </c>
      <c r="I89" s="62">
        <f>SUM(I80:I88)</f>
        <v>118.27000000000002</v>
      </c>
      <c r="J89" s="62">
        <f>SUM(J80:J88)</f>
        <v>906.20400000000006</v>
      </c>
      <c r="K89" s="37"/>
      <c r="L89" s="45">
        <f>SUM(L80:L88)</f>
        <v>0</v>
      </c>
    </row>
    <row r="90" spans="1:12" ht="18" customHeight="1" x14ac:dyDescent="0.25">
      <c r="A90" s="5">
        <v>1</v>
      </c>
      <c r="B90" s="5">
        <v>4</v>
      </c>
      <c r="C90" s="5" t="s">
        <v>38</v>
      </c>
      <c r="D90" s="6" t="s">
        <v>39</v>
      </c>
      <c r="E90" s="34" t="s">
        <v>111</v>
      </c>
      <c r="F90" s="32">
        <v>100</v>
      </c>
      <c r="G90" s="65">
        <f>F90*7.1/80</f>
        <v>8.875</v>
      </c>
      <c r="H90" s="65">
        <f>F90*14.5/80</f>
        <v>18.125</v>
      </c>
      <c r="I90" s="65">
        <f>F90*54.6/80</f>
        <v>68.25</v>
      </c>
      <c r="J90" s="65">
        <f>F90*384/80</f>
        <v>480</v>
      </c>
      <c r="K90" s="36" t="s">
        <v>72</v>
      </c>
      <c r="L90" s="44"/>
    </row>
    <row r="91" spans="1:12" ht="18" customHeight="1" x14ac:dyDescent="0.25">
      <c r="A91" s="8" t="s">
        <v>26</v>
      </c>
      <c r="B91" s="8" t="s">
        <v>26</v>
      </c>
      <c r="C91" s="8" t="s">
        <v>26</v>
      </c>
      <c r="D91" s="6" t="s">
        <v>35</v>
      </c>
      <c r="E91" s="50" t="s">
        <v>112</v>
      </c>
      <c r="F91" s="25">
        <v>200</v>
      </c>
      <c r="G91" s="61">
        <v>0</v>
      </c>
      <c r="H91" s="61">
        <v>0</v>
      </c>
      <c r="I91" s="61">
        <v>12</v>
      </c>
      <c r="J91" s="61">
        <v>48</v>
      </c>
      <c r="K91" s="36" t="s">
        <v>119</v>
      </c>
      <c r="L91" s="44"/>
    </row>
    <row r="92" spans="1:12" ht="18" customHeight="1" x14ac:dyDescent="0.25">
      <c r="A92" s="11"/>
      <c r="B92" s="11"/>
      <c r="C92" s="11" t="s">
        <v>29</v>
      </c>
      <c r="D92" s="12"/>
      <c r="E92" s="51" t="s">
        <v>108</v>
      </c>
      <c r="F92" s="27">
        <f>SUM(F90:F91)</f>
        <v>300</v>
      </c>
      <c r="G92" s="62">
        <f t="shared" ref="G92:J92" si="2">SUM(G90:G91)</f>
        <v>8.875</v>
      </c>
      <c r="H92" s="62">
        <f t="shared" si="2"/>
        <v>18.125</v>
      </c>
      <c r="I92" s="62">
        <f t="shared" si="2"/>
        <v>80.25</v>
      </c>
      <c r="J92" s="62">
        <f t="shared" si="2"/>
        <v>528</v>
      </c>
      <c r="K92" s="37"/>
      <c r="L92" s="45">
        <f>SUM(L90:L91)</f>
        <v>0</v>
      </c>
    </row>
    <row r="93" spans="1:12" ht="18" customHeight="1" x14ac:dyDescent="0.25">
      <c r="A93" s="13"/>
      <c r="B93" s="13"/>
      <c r="C93" s="13" t="s">
        <v>40</v>
      </c>
      <c r="D93" s="14"/>
      <c r="E93" s="52"/>
      <c r="F93" s="28">
        <f>F79+F89+F92</f>
        <v>1724</v>
      </c>
      <c r="G93" s="64">
        <f>G79+G89+G92</f>
        <v>74.664999999999992</v>
      </c>
      <c r="H93" s="64">
        <f>H79+H89+H92</f>
        <v>87.288999999999987</v>
      </c>
      <c r="I93" s="64">
        <f>I79+I89+I92</f>
        <v>276.82100000000003</v>
      </c>
      <c r="J93" s="64">
        <f>J79+J89+J92</f>
        <v>2198.154</v>
      </c>
      <c r="K93" s="38"/>
      <c r="L93" s="46">
        <f>L79+L89+L92</f>
        <v>0</v>
      </c>
    </row>
    <row r="94" spans="1:12" ht="18" customHeight="1" x14ac:dyDescent="0.25">
      <c r="A94" s="5">
        <v>1</v>
      </c>
      <c r="B94" s="5">
        <v>5</v>
      </c>
      <c r="C94" s="5" t="s">
        <v>24</v>
      </c>
      <c r="D94" s="6" t="s">
        <v>25</v>
      </c>
      <c r="E94" s="34" t="s">
        <v>120</v>
      </c>
      <c r="F94" s="17">
        <v>250</v>
      </c>
      <c r="G94" s="69">
        <f>F94*19.1/250</f>
        <v>19.100000000000001</v>
      </c>
      <c r="H94" s="69">
        <f>F94*23.05/250</f>
        <v>23.05</v>
      </c>
      <c r="I94" s="69">
        <f>F94*23.8/250</f>
        <v>23.8</v>
      </c>
      <c r="J94" s="69">
        <f>F94*379.05/250</f>
        <v>379.05</v>
      </c>
      <c r="K94" s="36" t="s">
        <v>126</v>
      </c>
      <c r="L94" s="44"/>
    </row>
    <row r="95" spans="1:12" ht="18" customHeight="1" x14ac:dyDescent="0.25">
      <c r="A95" s="8" t="s">
        <v>26</v>
      </c>
      <c r="B95" s="8" t="s">
        <v>26</v>
      </c>
      <c r="C95" s="8" t="s">
        <v>26</v>
      </c>
      <c r="D95" s="10" t="s">
        <v>36</v>
      </c>
      <c r="E95" s="34" t="s">
        <v>65</v>
      </c>
      <c r="F95" s="32">
        <v>50</v>
      </c>
      <c r="G95" s="69">
        <f>F95*3.2/50</f>
        <v>3.2</v>
      </c>
      <c r="H95" s="69">
        <f>F95*7.7/50</f>
        <v>7.7</v>
      </c>
      <c r="I95" s="69">
        <f>F95*19.5/50</f>
        <v>19.5</v>
      </c>
      <c r="J95" s="69">
        <f>F95*160/50</f>
        <v>160</v>
      </c>
      <c r="K95" s="36" t="s">
        <v>73</v>
      </c>
      <c r="L95" s="44"/>
    </row>
    <row r="96" spans="1:12" ht="18" customHeight="1" x14ac:dyDescent="0.25">
      <c r="A96" s="8" t="s">
        <v>26</v>
      </c>
      <c r="B96" s="8" t="s">
        <v>26</v>
      </c>
      <c r="C96" s="8" t="s">
        <v>26</v>
      </c>
      <c r="D96" s="6" t="s">
        <v>27</v>
      </c>
      <c r="E96" s="78" t="s">
        <v>43</v>
      </c>
      <c r="F96" s="68">
        <v>200</v>
      </c>
      <c r="G96" s="69">
        <f>F96*3.1/200</f>
        <v>3.1</v>
      </c>
      <c r="H96" s="69">
        <f>F96*3.2/200</f>
        <v>3.2</v>
      </c>
      <c r="I96" s="69">
        <f>F96*14.4/200</f>
        <v>14.4</v>
      </c>
      <c r="J96" s="69">
        <f>F96*99/200</f>
        <v>99</v>
      </c>
      <c r="K96" s="36" t="s">
        <v>184</v>
      </c>
      <c r="L96" s="44"/>
    </row>
    <row r="97" spans="1:12" ht="18" customHeight="1" x14ac:dyDescent="0.25">
      <c r="A97" s="8" t="s">
        <v>26</v>
      </c>
      <c r="B97" s="8" t="s">
        <v>26</v>
      </c>
      <c r="C97" s="8" t="s">
        <v>26</v>
      </c>
      <c r="D97" s="6" t="s">
        <v>37</v>
      </c>
      <c r="E97" s="34" t="s">
        <v>45</v>
      </c>
      <c r="F97" s="70">
        <v>50</v>
      </c>
      <c r="G97" s="65">
        <f>SUM(F97*1.68/30)</f>
        <v>2.8</v>
      </c>
      <c r="H97" s="65">
        <f>SUM(F97*0.33/30)</f>
        <v>0.55000000000000004</v>
      </c>
      <c r="I97" s="65">
        <f>SUM(F97*14.82/30)</f>
        <v>24.7</v>
      </c>
      <c r="J97" s="65">
        <f>SUM(F97*68.97/30)</f>
        <v>114.95</v>
      </c>
      <c r="K97" s="36" t="s">
        <v>46</v>
      </c>
      <c r="L97" s="44"/>
    </row>
    <row r="98" spans="1:12" ht="18" customHeight="1" x14ac:dyDescent="0.25">
      <c r="A98" s="8" t="s">
        <v>26</v>
      </c>
      <c r="B98" s="8" t="s">
        <v>26</v>
      </c>
      <c r="C98" s="8" t="s">
        <v>26</v>
      </c>
      <c r="D98" s="10"/>
      <c r="E98" s="50"/>
      <c r="F98" s="25"/>
      <c r="G98" s="61"/>
      <c r="H98" s="61"/>
      <c r="I98" s="61"/>
      <c r="J98" s="61"/>
      <c r="K98" s="36"/>
      <c r="L98" s="44"/>
    </row>
    <row r="99" spans="1:12" ht="18" customHeight="1" x14ac:dyDescent="0.25">
      <c r="A99" s="8" t="s">
        <v>26</v>
      </c>
      <c r="B99" s="8" t="s">
        <v>26</v>
      </c>
      <c r="C99" s="8" t="s">
        <v>26</v>
      </c>
      <c r="D99" s="10"/>
      <c r="E99" s="50"/>
      <c r="F99" s="25"/>
      <c r="G99" s="61"/>
      <c r="H99" s="61"/>
      <c r="I99" s="61"/>
      <c r="J99" s="61"/>
      <c r="K99" s="36"/>
      <c r="L99" s="44"/>
    </row>
    <row r="100" spans="1:12" ht="18" customHeight="1" x14ac:dyDescent="0.25">
      <c r="A100" s="11"/>
      <c r="B100" s="11"/>
      <c r="C100" s="11" t="s">
        <v>29</v>
      </c>
      <c r="D100" s="12"/>
      <c r="E100" s="51"/>
      <c r="F100" s="27">
        <f>SUM(F94:F99)</f>
        <v>550</v>
      </c>
      <c r="G100" s="62">
        <f>SUM(G94:G99)</f>
        <v>28.200000000000003</v>
      </c>
      <c r="H100" s="62">
        <f>SUM(H94:H99)</f>
        <v>34.5</v>
      </c>
      <c r="I100" s="62">
        <f>SUM(I94:I99)</f>
        <v>82.399999999999991</v>
      </c>
      <c r="J100" s="62">
        <f>SUM(J94:J99)</f>
        <v>753</v>
      </c>
      <c r="K100" s="37"/>
      <c r="L100" s="45">
        <f>SUM(L94:L99)</f>
        <v>0</v>
      </c>
    </row>
    <row r="101" spans="1:12" ht="29.25" customHeight="1" x14ac:dyDescent="0.25">
      <c r="A101" s="5">
        <v>1</v>
      </c>
      <c r="B101" s="5">
        <v>5</v>
      </c>
      <c r="C101" s="5" t="s">
        <v>30</v>
      </c>
      <c r="D101" s="6" t="s">
        <v>31</v>
      </c>
      <c r="E101" s="34" t="s">
        <v>121</v>
      </c>
      <c r="F101" s="17">
        <v>60</v>
      </c>
      <c r="G101" s="65">
        <f>F101*1.6/100</f>
        <v>0.96</v>
      </c>
      <c r="H101" s="65">
        <f>F101*6/100</f>
        <v>3.6</v>
      </c>
      <c r="I101" s="65">
        <f>F101*8.4/100</f>
        <v>5.04</v>
      </c>
      <c r="J101" s="65">
        <f>F101*97/100</f>
        <v>58.2</v>
      </c>
      <c r="K101" s="36" t="s">
        <v>127</v>
      </c>
      <c r="L101" s="44"/>
    </row>
    <row r="102" spans="1:12" ht="18" customHeight="1" x14ac:dyDescent="0.25">
      <c r="A102" s="8" t="s">
        <v>26</v>
      </c>
      <c r="B102" s="8" t="s">
        <v>26</v>
      </c>
      <c r="C102" s="8" t="s">
        <v>26</v>
      </c>
      <c r="D102" s="6" t="s">
        <v>32</v>
      </c>
      <c r="E102" s="34" t="s">
        <v>122</v>
      </c>
      <c r="F102" s="17">
        <v>200</v>
      </c>
      <c r="G102" s="65">
        <f>F102*2/250+1.6</f>
        <v>3.2</v>
      </c>
      <c r="H102" s="65">
        <f>F102*6.9/250+1.7</f>
        <v>7.22</v>
      </c>
      <c r="I102" s="65">
        <f>F102*11/250</f>
        <v>8.8000000000000007</v>
      </c>
      <c r="J102" s="65">
        <f>F102*114/250+22</f>
        <v>113.2</v>
      </c>
      <c r="K102" s="36" t="s">
        <v>128</v>
      </c>
      <c r="L102" s="44"/>
    </row>
    <row r="103" spans="1:12" ht="18" customHeight="1" x14ac:dyDescent="0.25">
      <c r="A103" s="8" t="s">
        <v>26</v>
      </c>
      <c r="B103" s="8" t="s">
        <v>26</v>
      </c>
      <c r="C103" s="8" t="s">
        <v>26</v>
      </c>
      <c r="D103" s="6" t="s">
        <v>33</v>
      </c>
      <c r="E103" s="34" t="s">
        <v>123</v>
      </c>
      <c r="F103" s="17">
        <v>250</v>
      </c>
      <c r="G103" s="65">
        <f>F103*18.5/250</f>
        <v>18.5</v>
      </c>
      <c r="H103" s="65">
        <f>F103*20.6/250</f>
        <v>20.6</v>
      </c>
      <c r="I103" s="65">
        <f>F103*43.2/250</f>
        <v>43.2</v>
      </c>
      <c r="J103" s="65">
        <f>F103*432.2/250</f>
        <v>432.2</v>
      </c>
      <c r="K103" s="36" t="s">
        <v>129</v>
      </c>
      <c r="L103" s="44"/>
    </row>
    <row r="104" spans="1:12" ht="18" customHeight="1" x14ac:dyDescent="0.25">
      <c r="A104" s="8" t="s">
        <v>26</v>
      </c>
      <c r="B104" s="8" t="s">
        <v>26</v>
      </c>
      <c r="C104" s="8" t="s">
        <v>26</v>
      </c>
      <c r="D104" s="6" t="s">
        <v>35</v>
      </c>
      <c r="E104" s="34" t="s">
        <v>124</v>
      </c>
      <c r="F104" s="70">
        <v>200</v>
      </c>
      <c r="G104" s="71">
        <v>0.2</v>
      </c>
      <c r="H104" s="71">
        <v>0.1</v>
      </c>
      <c r="I104" s="71">
        <v>13.1</v>
      </c>
      <c r="J104" s="71">
        <v>54</v>
      </c>
      <c r="K104" s="36" t="s">
        <v>119</v>
      </c>
      <c r="L104" s="44"/>
    </row>
    <row r="105" spans="1:12" ht="18" customHeight="1" x14ac:dyDescent="0.25">
      <c r="A105" s="8" t="s">
        <v>26</v>
      </c>
      <c r="B105" s="8" t="s">
        <v>26</v>
      </c>
      <c r="C105" s="8" t="s">
        <v>26</v>
      </c>
      <c r="D105" s="6" t="s">
        <v>36</v>
      </c>
      <c r="E105" s="34" t="s">
        <v>52</v>
      </c>
      <c r="F105" s="70">
        <v>50</v>
      </c>
      <c r="G105" s="65">
        <f>SUM(F105*2.37/30)</f>
        <v>3.95</v>
      </c>
      <c r="H105" s="65">
        <f>SUM(F105*0.3/30)</f>
        <v>0.5</v>
      </c>
      <c r="I105" s="65">
        <f>SUM(F105*14.49/30)</f>
        <v>24.15</v>
      </c>
      <c r="J105" s="65">
        <f>SUM(F105*70.14/30)</f>
        <v>116.9</v>
      </c>
      <c r="K105" s="36" t="s">
        <v>46</v>
      </c>
      <c r="L105" s="44"/>
    </row>
    <row r="106" spans="1:12" ht="18" customHeight="1" x14ac:dyDescent="0.25">
      <c r="A106" s="8" t="s">
        <v>26</v>
      </c>
      <c r="B106" s="8" t="s">
        <v>26</v>
      </c>
      <c r="C106" s="8" t="s">
        <v>26</v>
      </c>
      <c r="D106" s="6" t="s">
        <v>37</v>
      </c>
      <c r="E106" s="34" t="s">
        <v>45</v>
      </c>
      <c r="F106" s="70">
        <v>50</v>
      </c>
      <c r="G106" s="65">
        <f>SUM(F106*1.68/30)</f>
        <v>2.8</v>
      </c>
      <c r="H106" s="65">
        <f>SUM(F106*0.33/30)</f>
        <v>0.55000000000000004</v>
      </c>
      <c r="I106" s="65">
        <f>SUM(F106*14.82/30)</f>
        <v>24.7</v>
      </c>
      <c r="J106" s="65">
        <f>SUM(F106*68.97/30)</f>
        <v>114.95</v>
      </c>
      <c r="K106" s="36" t="s">
        <v>46</v>
      </c>
      <c r="L106" s="44"/>
    </row>
    <row r="107" spans="1:12" ht="18" customHeight="1" x14ac:dyDescent="0.25">
      <c r="A107" s="8" t="s">
        <v>26</v>
      </c>
      <c r="B107" s="8" t="s">
        <v>26</v>
      </c>
      <c r="C107" s="8" t="s">
        <v>26</v>
      </c>
      <c r="D107" s="10"/>
      <c r="E107" s="50"/>
      <c r="F107" s="25"/>
      <c r="G107" s="61"/>
      <c r="H107" s="61"/>
      <c r="I107" s="61"/>
      <c r="J107" s="61"/>
      <c r="K107" s="36"/>
      <c r="L107" s="44"/>
    </row>
    <row r="108" spans="1:12" ht="18" customHeight="1" x14ac:dyDescent="0.25">
      <c r="A108" s="8" t="s">
        <v>26</v>
      </c>
      <c r="B108" s="8" t="s">
        <v>26</v>
      </c>
      <c r="C108" s="8" t="s">
        <v>26</v>
      </c>
      <c r="D108" s="10"/>
      <c r="E108" s="50"/>
      <c r="F108" s="25"/>
      <c r="G108" s="61"/>
      <c r="H108" s="61"/>
      <c r="I108" s="61"/>
      <c r="J108" s="61"/>
      <c r="K108" s="36"/>
      <c r="L108" s="44"/>
    </row>
    <row r="109" spans="1:12" ht="18" customHeight="1" x14ac:dyDescent="0.25">
      <c r="A109" s="11"/>
      <c r="B109" s="11"/>
      <c r="C109" s="11" t="s">
        <v>29</v>
      </c>
      <c r="D109" s="12"/>
      <c r="E109" s="51"/>
      <c r="F109" s="27">
        <f>SUM(F101:F108)</f>
        <v>810</v>
      </c>
      <c r="G109" s="62">
        <f>SUM(G101:G108)</f>
        <v>29.61</v>
      </c>
      <c r="H109" s="62">
        <f>SUM(H101:H108)</f>
        <v>32.57</v>
      </c>
      <c r="I109" s="62">
        <f>SUM(I101:I108)</f>
        <v>118.99</v>
      </c>
      <c r="J109" s="62">
        <f>SUM(J101:J108)</f>
        <v>889.45</v>
      </c>
      <c r="K109" s="37"/>
      <c r="L109" s="45">
        <f>SUM(L101:L108)</f>
        <v>0</v>
      </c>
    </row>
    <row r="110" spans="1:12" ht="18" customHeight="1" x14ac:dyDescent="0.25">
      <c r="A110" s="5">
        <v>1</v>
      </c>
      <c r="B110" s="5">
        <v>5</v>
      </c>
      <c r="C110" s="5" t="s">
        <v>38</v>
      </c>
      <c r="D110" s="6" t="s">
        <v>39</v>
      </c>
      <c r="E110" s="34" t="s">
        <v>125</v>
      </c>
      <c r="F110" s="17">
        <v>80</v>
      </c>
      <c r="G110" s="65">
        <f>F110*4.6/60</f>
        <v>6.1333333333333337</v>
      </c>
      <c r="H110" s="65">
        <f>F110*4.4/60</f>
        <v>5.8666666666666663</v>
      </c>
      <c r="I110" s="65">
        <f>F110*36/60</f>
        <v>48</v>
      </c>
      <c r="J110" s="65">
        <f>F110*204/60</f>
        <v>272</v>
      </c>
      <c r="K110" s="36" t="s">
        <v>130</v>
      </c>
      <c r="L110" s="44"/>
    </row>
    <row r="111" spans="1:12" ht="18" customHeight="1" x14ac:dyDescent="0.25">
      <c r="A111" s="8" t="s">
        <v>26</v>
      </c>
      <c r="B111" s="8" t="s">
        <v>26</v>
      </c>
      <c r="C111" s="8" t="s">
        <v>26</v>
      </c>
      <c r="D111" s="6" t="s">
        <v>35</v>
      </c>
      <c r="E111" s="34" t="s">
        <v>107</v>
      </c>
      <c r="F111" s="32">
        <v>200</v>
      </c>
      <c r="G111" s="59">
        <v>0.4</v>
      </c>
      <c r="H111" s="59">
        <v>0.4</v>
      </c>
      <c r="I111" s="59">
        <v>18.399999999999999</v>
      </c>
      <c r="J111" s="59">
        <v>80</v>
      </c>
      <c r="K111" s="36" t="s">
        <v>82</v>
      </c>
      <c r="L111" s="44"/>
    </row>
    <row r="112" spans="1:12" ht="18" customHeight="1" x14ac:dyDescent="0.25">
      <c r="A112" s="8"/>
      <c r="B112" s="8"/>
      <c r="C112" s="8"/>
      <c r="D112" s="6" t="s">
        <v>28</v>
      </c>
      <c r="E112" s="50" t="s">
        <v>60</v>
      </c>
      <c r="F112" s="25">
        <v>100</v>
      </c>
      <c r="G112" s="61">
        <v>0.4</v>
      </c>
      <c r="H112" s="61">
        <v>0.4</v>
      </c>
      <c r="I112" s="61">
        <v>9.8000000000000007</v>
      </c>
      <c r="J112" s="61">
        <v>47</v>
      </c>
      <c r="K112" s="36" t="s">
        <v>46</v>
      </c>
      <c r="L112" s="44"/>
    </row>
    <row r="113" spans="1:12" ht="18" customHeight="1" x14ac:dyDescent="0.25">
      <c r="A113" s="11"/>
      <c r="B113" s="11"/>
      <c r="C113" s="11" t="s">
        <v>29</v>
      </c>
      <c r="D113" s="12"/>
      <c r="E113" s="51"/>
      <c r="F113" s="27">
        <f>SUM(F110:F112)</f>
        <v>380</v>
      </c>
      <c r="G113" s="62">
        <f t="shared" ref="G113:J113" si="3">SUM(G110:G112)</f>
        <v>6.9333333333333345</v>
      </c>
      <c r="H113" s="62">
        <f t="shared" si="3"/>
        <v>6.666666666666667</v>
      </c>
      <c r="I113" s="62">
        <f t="shared" si="3"/>
        <v>76.2</v>
      </c>
      <c r="J113" s="62">
        <f t="shared" si="3"/>
        <v>399</v>
      </c>
      <c r="K113" s="37"/>
      <c r="L113" s="45">
        <f>SUM(L110:L111)</f>
        <v>0</v>
      </c>
    </row>
    <row r="114" spans="1:12" ht="18" customHeight="1" x14ac:dyDescent="0.25">
      <c r="A114" s="13"/>
      <c r="B114" s="13"/>
      <c r="C114" s="13" t="s">
        <v>40</v>
      </c>
      <c r="D114" s="14"/>
      <c r="E114" s="52"/>
      <c r="F114" s="28">
        <f>F100+F109+F113</f>
        <v>1740</v>
      </c>
      <c r="G114" s="64">
        <f>G100+G109+G113</f>
        <v>64.743333333333339</v>
      </c>
      <c r="H114" s="64">
        <f>H100+H109+H113</f>
        <v>73.736666666666665</v>
      </c>
      <c r="I114" s="64">
        <f>I100+I109+I113</f>
        <v>277.58999999999997</v>
      </c>
      <c r="J114" s="64">
        <f>J100+J109+J113</f>
        <v>2041.45</v>
      </c>
      <c r="K114" s="38"/>
      <c r="L114" s="46">
        <f>L100+L109+L113</f>
        <v>0</v>
      </c>
    </row>
    <row r="115" spans="1:12" ht="18" customHeight="1" x14ac:dyDescent="0.25">
      <c r="A115" s="5">
        <v>2</v>
      </c>
      <c r="B115" s="5">
        <v>1</v>
      </c>
      <c r="C115" s="5" t="s">
        <v>24</v>
      </c>
      <c r="D115" s="15" t="s">
        <v>25</v>
      </c>
      <c r="E115" s="16" t="s">
        <v>131</v>
      </c>
      <c r="F115" s="17">
        <v>250</v>
      </c>
      <c r="G115" s="65">
        <f>F115*6.5/200</f>
        <v>8.125</v>
      </c>
      <c r="H115" s="65">
        <f>F115*6.6/200</f>
        <v>8.25</v>
      </c>
      <c r="I115" s="65">
        <f>F115*31.2/200</f>
        <v>39</v>
      </c>
      <c r="J115" s="65">
        <f>F115*214/200</f>
        <v>267.5</v>
      </c>
      <c r="K115" s="36" t="s">
        <v>137</v>
      </c>
      <c r="L115" s="44"/>
    </row>
    <row r="116" spans="1:12" ht="18" customHeight="1" x14ac:dyDescent="0.25">
      <c r="A116" s="8" t="s">
        <v>26</v>
      </c>
      <c r="B116" s="8" t="s">
        <v>26</v>
      </c>
      <c r="C116" s="8" t="s">
        <v>26</v>
      </c>
      <c r="D116" s="18" t="s">
        <v>36</v>
      </c>
      <c r="E116" s="19" t="s">
        <v>84</v>
      </c>
      <c r="F116" s="17">
        <v>60</v>
      </c>
      <c r="G116" s="1">
        <f>F116*5/45</f>
        <v>6.666666666666667</v>
      </c>
      <c r="H116" s="1">
        <f>F116*6.6/45</f>
        <v>8.8000000000000007</v>
      </c>
      <c r="I116" s="1">
        <f>F116*17/45</f>
        <v>22.666666666666668</v>
      </c>
      <c r="J116" s="33">
        <f>F116*149/45</f>
        <v>198.66666666666666</v>
      </c>
      <c r="K116" s="36" t="s">
        <v>91</v>
      </c>
      <c r="L116" s="44"/>
    </row>
    <row r="117" spans="1:12" ht="18" customHeight="1" x14ac:dyDescent="0.25">
      <c r="A117" s="8" t="s">
        <v>26</v>
      </c>
      <c r="B117" s="8" t="s">
        <v>26</v>
      </c>
      <c r="C117" s="8" t="s">
        <v>26</v>
      </c>
      <c r="D117" s="15" t="s">
        <v>27</v>
      </c>
      <c r="E117" s="19" t="s">
        <v>85</v>
      </c>
      <c r="F117" s="17">
        <v>200</v>
      </c>
      <c r="G117" s="65">
        <v>3.6</v>
      </c>
      <c r="H117" s="65">
        <v>3.3</v>
      </c>
      <c r="I117" s="65">
        <v>22.8</v>
      </c>
      <c r="J117" s="65">
        <v>135</v>
      </c>
      <c r="K117" s="36" t="s">
        <v>92</v>
      </c>
      <c r="L117" s="44"/>
    </row>
    <row r="118" spans="1:12" ht="18" customHeight="1" x14ac:dyDescent="0.25">
      <c r="A118" s="8" t="s">
        <v>26</v>
      </c>
      <c r="B118" s="8" t="s">
        <v>26</v>
      </c>
      <c r="C118" s="8" t="s">
        <v>26</v>
      </c>
      <c r="D118" s="15" t="s">
        <v>37</v>
      </c>
      <c r="E118" s="19" t="s">
        <v>45</v>
      </c>
      <c r="F118" s="17">
        <v>50</v>
      </c>
      <c r="G118" s="65">
        <f>SUM(F118*1.68/30)</f>
        <v>2.8</v>
      </c>
      <c r="H118" s="65">
        <f>SUM(F118*0.33/30)</f>
        <v>0.55000000000000004</v>
      </c>
      <c r="I118" s="65">
        <f>SUM(F118*14.82/30)</f>
        <v>24.7</v>
      </c>
      <c r="J118" s="65">
        <f>SUM(F118*68.97/30)</f>
        <v>114.95</v>
      </c>
      <c r="K118" s="36" t="s">
        <v>46</v>
      </c>
      <c r="L118" s="44"/>
    </row>
    <row r="119" spans="1:12" ht="18" customHeight="1" x14ac:dyDescent="0.25">
      <c r="A119" s="8" t="s">
        <v>26</v>
      </c>
      <c r="B119" s="8" t="s">
        <v>26</v>
      </c>
      <c r="C119" s="8" t="s">
        <v>26</v>
      </c>
      <c r="D119" s="10"/>
      <c r="E119" s="50"/>
      <c r="F119" s="25"/>
      <c r="G119" s="61"/>
      <c r="H119" s="61"/>
      <c r="I119" s="61"/>
      <c r="J119" s="61"/>
      <c r="K119" s="36"/>
      <c r="L119" s="44"/>
    </row>
    <row r="120" spans="1:12" ht="18" customHeight="1" x14ac:dyDescent="0.25">
      <c r="A120" s="8" t="s">
        <v>26</v>
      </c>
      <c r="B120" s="8" t="s">
        <v>26</v>
      </c>
      <c r="C120" s="8" t="s">
        <v>26</v>
      </c>
      <c r="D120" s="10"/>
      <c r="E120" s="50"/>
      <c r="F120" s="25"/>
      <c r="G120" s="61"/>
      <c r="H120" s="61"/>
      <c r="I120" s="61"/>
      <c r="J120" s="61"/>
      <c r="K120" s="36"/>
      <c r="L120" s="44"/>
    </row>
    <row r="121" spans="1:12" ht="18" customHeight="1" x14ac:dyDescent="0.25">
      <c r="A121" s="11"/>
      <c r="B121" s="11"/>
      <c r="C121" s="11" t="s">
        <v>29</v>
      </c>
      <c r="D121" s="12"/>
      <c r="E121" s="51"/>
      <c r="F121" s="27">
        <f>SUM(F115:F120)</f>
        <v>560</v>
      </c>
      <c r="G121" s="62">
        <f>SUM(G115:G120)</f>
        <v>21.19166666666667</v>
      </c>
      <c r="H121" s="62">
        <f>SUM(H115:H120)</f>
        <v>20.900000000000002</v>
      </c>
      <c r="I121" s="62">
        <f>SUM(I115:I120)</f>
        <v>109.16666666666667</v>
      </c>
      <c r="J121" s="62">
        <f>SUM(J115:J120)</f>
        <v>716.11666666666667</v>
      </c>
      <c r="K121" s="37"/>
      <c r="L121" s="45">
        <f>SUM(L115:L120)</f>
        <v>0</v>
      </c>
    </row>
    <row r="122" spans="1:12" ht="22.5" customHeight="1" x14ac:dyDescent="0.25">
      <c r="A122" s="5">
        <v>2</v>
      </c>
      <c r="B122" s="5">
        <v>1</v>
      </c>
      <c r="C122" s="5" t="s">
        <v>30</v>
      </c>
      <c r="D122" s="20" t="s">
        <v>31</v>
      </c>
      <c r="E122" s="19" t="s">
        <v>132</v>
      </c>
      <c r="F122" s="65">
        <v>60</v>
      </c>
      <c r="G122" s="60">
        <f>F122*0.5/50</f>
        <v>0.6</v>
      </c>
      <c r="H122" s="60">
        <f>F122*5/50</f>
        <v>6</v>
      </c>
      <c r="I122" s="60">
        <f>F122*2.3/50</f>
        <v>2.76</v>
      </c>
      <c r="J122" s="86">
        <f>F122*56/50</f>
        <v>67.2</v>
      </c>
      <c r="K122" s="36" t="s">
        <v>138</v>
      </c>
      <c r="L122" s="44"/>
    </row>
    <row r="123" spans="1:12" ht="32.25" customHeight="1" x14ac:dyDescent="0.25">
      <c r="A123" s="8" t="s">
        <v>26</v>
      </c>
      <c r="B123" s="8" t="s">
        <v>26</v>
      </c>
      <c r="C123" s="8" t="s">
        <v>26</v>
      </c>
      <c r="D123" s="20" t="s">
        <v>32</v>
      </c>
      <c r="E123" s="16" t="s">
        <v>133</v>
      </c>
      <c r="F123" s="65">
        <v>250</v>
      </c>
      <c r="G123" s="60">
        <f>F123*3.2/250+1.6+2</f>
        <v>6.8000000000000007</v>
      </c>
      <c r="H123" s="60">
        <f>F123*2.4/250+1.7+8.2</f>
        <v>12.299999999999999</v>
      </c>
      <c r="I123" s="60">
        <f>F123*21.7/250</f>
        <v>21.7</v>
      </c>
      <c r="J123" s="86">
        <v>224.7</v>
      </c>
      <c r="K123" s="36" t="s">
        <v>139</v>
      </c>
      <c r="L123" s="44"/>
    </row>
    <row r="124" spans="1:12" ht="18" customHeight="1" x14ac:dyDescent="0.25">
      <c r="A124" s="8" t="s">
        <v>26</v>
      </c>
      <c r="B124" s="8" t="s">
        <v>26</v>
      </c>
      <c r="C124" s="8" t="s">
        <v>26</v>
      </c>
      <c r="D124" s="20" t="s">
        <v>33</v>
      </c>
      <c r="E124" s="19" t="s">
        <v>134</v>
      </c>
      <c r="F124" s="87">
        <v>100</v>
      </c>
      <c r="G124" s="60">
        <f>14.8*F124/100</f>
        <v>14.8</v>
      </c>
      <c r="H124" s="60">
        <f>12.4*F124/100</f>
        <v>12.4</v>
      </c>
      <c r="I124" s="60">
        <f>9.1*F124/100</f>
        <v>9.1</v>
      </c>
      <c r="J124" s="86">
        <f>207*F124/100</f>
        <v>207</v>
      </c>
      <c r="K124" s="36" t="s">
        <v>140</v>
      </c>
      <c r="L124" s="44"/>
    </row>
    <row r="125" spans="1:12" ht="18" customHeight="1" x14ac:dyDescent="0.25">
      <c r="A125" s="8" t="s">
        <v>26</v>
      </c>
      <c r="B125" s="8" t="s">
        <v>26</v>
      </c>
      <c r="C125" s="8" t="s">
        <v>26</v>
      </c>
      <c r="D125" s="20" t="s">
        <v>34</v>
      </c>
      <c r="E125" s="16" t="s">
        <v>135</v>
      </c>
      <c r="F125" s="65">
        <v>180</v>
      </c>
      <c r="G125" s="60">
        <f>F125*4.3/200</f>
        <v>3.87</v>
      </c>
      <c r="H125" s="60">
        <f>F125*3.8/200</f>
        <v>3.42</v>
      </c>
      <c r="I125" s="60">
        <f>F125*15.9/200</f>
        <v>14.31</v>
      </c>
      <c r="J125" s="86">
        <f>F125*115/200</f>
        <v>103.5</v>
      </c>
      <c r="K125" s="36" t="s">
        <v>141</v>
      </c>
      <c r="L125" s="44"/>
    </row>
    <row r="126" spans="1:12" ht="18" customHeight="1" x14ac:dyDescent="0.25">
      <c r="A126" s="8" t="s">
        <v>26</v>
      </c>
      <c r="B126" s="8" t="s">
        <v>26</v>
      </c>
      <c r="C126" s="8" t="s">
        <v>26</v>
      </c>
      <c r="D126" s="20" t="s">
        <v>35</v>
      </c>
      <c r="E126" s="19" t="s">
        <v>58</v>
      </c>
      <c r="F126" s="65">
        <v>200</v>
      </c>
      <c r="G126" s="88">
        <v>1</v>
      </c>
      <c r="H126" s="88">
        <v>0.1</v>
      </c>
      <c r="I126" s="88">
        <v>19.8</v>
      </c>
      <c r="J126" s="89">
        <v>84</v>
      </c>
      <c r="K126" s="36" t="s">
        <v>61</v>
      </c>
      <c r="L126" s="44"/>
    </row>
    <row r="127" spans="1:12" ht="18" customHeight="1" x14ac:dyDescent="0.25">
      <c r="A127" s="8" t="s">
        <v>26</v>
      </c>
      <c r="B127" s="8" t="s">
        <v>26</v>
      </c>
      <c r="C127" s="8" t="s">
        <v>26</v>
      </c>
      <c r="D127" s="20" t="s">
        <v>36</v>
      </c>
      <c r="E127" s="19" t="s">
        <v>52</v>
      </c>
      <c r="F127" s="65">
        <v>50</v>
      </c>
      <c r="G127" s="60">
        <f>SUM(F127*2.37/30)</f>
        <v>3.95</v>
      </c>
      <c r="H127" s="60">
        <f>SUM(F127*0.3/30)</f>
        <v>0.5</v>
      </c>
      <c r="I127" s="60">
        <f>SUM(F127*14.49/30)</f>
        <v>24.15</v>
      </c>
      <c r="J127" s="60">
        <f>SUM(F127*70.14/30)</f>
        <v>116.9</v>
      </c>
      <c r="K127" s="36" t="s">
        <v>46</v>
      </c>
      <c r="L127" s="44"/>
    </row>
    <row r="128" spans="1:12" ht="18" customHeight="1" x14ac:dyDescent="0.25">
      <c r="A128" s="8" t="s">
        <v>26</v>
      </c>
      <c r="B128" s="8" t="s">
        <v>26</v>
      </c>
      <c r="C128" s="8" t="s">
        <v>26</v>
      </c>
      <c r="D128" s="20" t="s">
        <v>37</v>
      </c>
      <c r="E128" s="19" t="s">
        <v>45</v>
      </c>
      <c r="F128" s="65">
        <v>50</v>
      </c>
      <c r="G128" s="60">
        <f>SUM(F128*1.68/30)</f>
        <v>2.8</v>
      </c>
      <c r="H128" s="60">
        <f>SUM(F128*0.33/30)</f>
        <v>0.55000000000000004</v>
      </c>
      <c r="I128" s="60">
        <f>SUM(F128*14.82/30)</f>
        <v>24.7</v>
      </c>
      <c r="J128" s="60">
        <f>SUM(F128*68.97/30)</f>
        <v>114.95</v>
      </c>
      <c r="K128" s="36" t="s">
        <v>46</v>
      </c>
      <c r="L128" s="44"/>
    </row>
    <row r="129" spans="1:12" ht="18" customHeight="1" x14ac:dyDescent="0.25">
      <c r="A129" s="8" t="s">
        <v>26</v>
      </c>
      <c r="B129" s="8" t="s">
        <v>26</v>
      </c>
      <c r="C129" s="8" t="s">
        <v>26</v>
      </c>
      <c r="D129" s="10"/>
      <c r="E129" s="50"/>
      <c r="F129" s="25"/>
      <c r="G129" s="61"/>
      <c r="H129" s="61"/>
      <c r="I129" s="61"/>
      <c r="J129" s="61"/>
      <c r="K129" s="36"/>
      <c r="L129" s="44"/>
    </row>
    <row r="130" spans="1:12" ht="18" customHeight="1" x14ac:dyDescent="0.25">
      <c r="A130" s="8" t="s">
        <v>26</v>
      </c>
      <c r="B130" s="8" t="s">
        <v>26</v>
      </c>
      <c r="C130" s="8" t="s">
        <v>26</v>
      </c>
      <c r="D130" s="10"/>
      <c r="E130" s="50"/>
      <c r="F130" s="25"/>
      <c r="G130" s="61"/>
      <c r="H130" s="61"/>
      <c r="I130" s="61"/>
      <c r="J130" s="61"/>
      <c r="K130" s="36"/>
      <c r="L130" s="44"/>
    </row>
    <row r="131" spans="1:12" ht="18" customHeight="1" x14ac:dyDescent="0.25">
      <c r="A131" s="11"/>
      <c r="B131" s="11"/>
      <c r="C131" s="11" t="s">
        <v>29</v>
      </c>
      <c r="D131" s="12"/>
      <c r="E131" s="51"/>
      <c r="F131" s="27">
        <f>SUM(F122:F130)</f>
        <v>890</v>
      </c>
      <c r="G131" s="62">
        <f>SUM(G122:G130)</f>
        <v>33.82</v>
      </c>
      <c r="H131" s="62">
        <f>SUM(H122:H130)</f>
        <v>35.269999999999996</v>
      </c>
      <c r="I131" s="62">
        <f>SUM(I122:I130)</f>
        <v>116.52</v>
      </c>
      <c r="J131" s="62">
        <f>SUM(J122:J130)</f>
        <v>918.25</v>
      </c>
      <c r="K131" s="37"/>
      <c r="L131" s="45">
        <f>SUM(L122:L130)</f>
        <v>0</v>
      </c>
    </row>
    <row r="132" spans="1:12" ht="18" customHeight="1" x14ac:dyDescent="0.25">
      <c r="A132" s="5">
        <v>2</v>
      </c>
      <c r="B132" s="5">
        <v>1</v>
      </c>
      <c r="C132" s="5" t="s">
        <v>38</v>
      </c>
      <c r="D132" s="15" t="s">
        <v>39</v>
      </c>
      <c r="E132" s="16" t="s">
        <v>136</v>
      </c>
      <c r="F132" s="17">
        <v>100</v>
      </c>
      <c r="G132" s="65">
        <f>F132*5.5/65</f>
        <v>8.4615384615384617</v>
      </c>
      <c r="H132" s="65">
        <f>F132*6.4/65</f>
        <v>9.8461538461538467</v>
      </c>
      <c r="I132" s="65">
        <f>F132*51/65</f>
        <v>78.461538461538467</v>
      </c>
      <c r="J132" s="65">
        <f>F132*286/65</f>
        <v>440</v>
      </c>
      <c r="K132" s="36" t="s">
        <v>142</v>
      </c>
      <c r="L132" s="44"/>
    </row>
    <row r="133" spans="1:12" ht="18" customHeight="1" x14ac:dyDescent="0.25">
      <c r="A133" s="8" t="s">
        <v>26</v>
      </c>
      <c r="B133" s="8" t="s">
        <v>26</v>
      </c>
      <c r="C133" s="8" t="s">
        <v>26</v>
      </c>
      <c r="D133" s="15" t="s">
        <v>35</v>
      </c>
      <c r="E133" s="19" t="s">
        <v>124</v>
      </c>
      <c r="F133" s="17">
        <v>200</v>
      </c>
      <c r="G133" s="65">
        <v>0.2</v>
      </c>
      <c r="H133" s="65">
        <v>0.1</v>
      </c>
      <c r="I133" s="65">
        <v>13.1</v>
      </c>
      <c r="J133" s="65">
        <v>54</v>
      </c>
      <c r="K133" s="36" t="s">
        <v>119</v>
      </c>
      <c r="L133" s="44"/>
    </row>
    <row r="134" spans="1:12" ht="18" customHeight="1" x14ac:dyDescent="0.25">
      <c r="A134" s="8"/>
      <c r="B134" s="8"/>
      <c r="C134" s="8"/>
      <c r="D134" s="15" t="s">
        <v>28</v>
      </c>
      <c r="E134" s="19" t="s">
        <v>60</v>
      </c>
      <c r="F134" s="17">
        <v>100</v>
      </c>
      <c r="G134" s="65">
        <f>F134*0.4/100</f>
        <v>0.4</v>
      </c>
      <c r="H134" s="65">
        <f>F134*0.4/100</f>
        <v>0.4</v>
      </c>
      <c r="I134" s="65">
        <f>F134*9.8/100</f>
        <v>9.8000000000000007</v>
      </c>
      <c r="J134" s="65">
        <f>F134*47/100</f>
        <v>47</v>
      </c>
      <c r="K134" s="36" t="s">
        <v>46</v>
      </c>
      <c r="L134" s="44"/>
    </row>
    <row r="135" spans="1:12" ht="18" customHeight="1" x14ac:dyDescent="0.25">
      <c r="A135" s="11"/>
      <c r="B135" s="11"/>
      <c r="C135" s="11" t="s">
        <v>29</v>
      </c>
      <c r="D135" s="12"/>
      <c r="E135" s="51"/>
      <c r="F135" s="27">
        <f>SUM(F132:F134)</f>
        <v>400</v>
      </c>
      <c r="G135" s="62">
        <f t="shared" ref="G135:J135" si="4">SUM(G132:G134)</f>
        <v>9.0615384615384613</v>
      </c>
      <c r="H135" s="62">
        <f t="shared" si="4"/>
        <v>10.346153846153847</v>
      </c>
      <c r="I135" s="62">
        <f t="shared" si="4"/>
        <v>101.36153846153846</v>
      </c>
      <c r="J135" s="62">
        <f t="shared" si="4"/>
        <v>541</v>
      </c>
      <c r="K135" s="37"/>
      <c r="L135" s="45">
        <f>SUM(L132:L133)</f>
        <v>0</v>
      </c>
    </row>
    <row r="136" spans="1:12" ht="18" customHeight="1" thickBot="1" x14ac:dyDescent="0.3">
      <c r="A136" s="13"/>
      <c r="B136" s="13"/>
      <c r="C136" s="13" t="s">
        <v>40</v>
      </c>
      <c r="D136" s="14"/>
      <c r="E136" s="52"/>
      <c r="F136" s="28">
        <f>F121+F131+F135</f>
        <v>1850</v>
      </c>
      <c r="G136" s="64">
        <f>G121+G131+G135</f>
        <v>64.073205128205132</v>
      </c>
      <c r="H136" s="64">
        <f>H121+H131+H135</f>
        <v>66.516153846153856</v>
      </c>
      <c r="I136" s="64">
        <f>I121+I131+I135</f>
        <v>327.04820512820515</v>
      </c>
      <c r="J136" s="64">
        <f>J121+J131+J135</f>
        <v>2175.3666666666668</v>
      </c>
      <c r="K136" s="38"/>
      <c r="L136" s="46">
        <f>L121+L131+L135</f>
        <v>0</v>
      </c>
    </row>
    <row r="137" spans="1:12" ht="31.5" customHeight="1" x14ac:dyDescent="0.25">
      <c r="A137" s="5">
        <v>2</v>
      </c>
      <c r="B137" s="5">
        <v>2</v>
      </c>
      <c r="C137" s="5" t="s">
        <v>24</v>
      </c>
      <c r="D137" s="15" t="s">
        <v>25</v>
      </c>
      <c r="E137" s="16" t="s">
        <v>143</v>
      </c>
      <c r="F137" s="60">
        <v>240</v>
      </c>
      <c r="G137" s="91">
        <f>33.8*F137/200+1.4</f>
        <v>41.959999999999994</v>
      </c>
      <c r="H137" s="91">
        <f>19.2*F137/200+1.8</f>
        <v>24.84</v>
      </c>
      <c r="I137" s="91">
        <f>26.4*F137/200+11.2</f>
        <v>42.879999999999995</v>
      </c>
      <c r="J137" s="91">
        <f>414*F137/200+64</f>
        <v>560.79999999999995</v>
      </c>
      <c r="K137" s="36" t="s">
        <v>147</v>
      </c>
      <c r="L137" s="44"/>
    </row>
    <row r="138" spans="1:12" ht="18" customHeight="1" x14ac:dyDescent="0.25">
      <c r="A138" s="8" t="s">
        <v>26</v>
      </c>
      <c r="B138" s="8" t="s">
        <v>26</v>
      </c>
      <c r="C138" s="8" t="s">
        <v>26</v>
      </c>
      <c r="D138" s="18" t="s">
        <v>36</v>
      </c>
      <c r="E138" s="19" t="s">
        <v>65</v>
      </c>
      <c r="F138" s="65">
        <v>60</v>
      </c>
      <c r="G138" s="48">
        <f>3.2*F138/50</f>
        <v>3.84</v>
      </c>
      <c r="H138" s="48">
        <f>7.7*F138/50</f>
        <v>9.24</v>
      </c>
      <c r="I138" s="48">
        <f>19.5*F138/50</f>
        <v>23.4</v>
      </c>
      <c r="J138" s="48">
        <f>160*F138/50</f>
        <v>192</v>
      </c>
      <c r="K138" s="36" t="s">
        <v>73</v>
      </c>
      <c r="L138" s="44"/>
    </row>
    <row r="139" spans="1:12" ht="18" customHeight="1" x14ac:dyDescent="0.25">
      <c r="A139" s="8" t="s">
        <v>26</v>
      </c>
      <c r="B139" s="8" t="s">
        <v>26</v>
      </c>
      <c r="C139" s="8" t="s">
        <v>26</v>
      </c>
      <c r="D139" s="15" t="s">
        <v>27</v>
      </c>
      <c r="E139" s="19" t="s">
        <v>103</v>
      </c>
      <c r="F139" s="92">
        <v>200</v>
      </c>
      <c r="G139" s="60">
        <v>0.1</v>
      </c>
      <c r="H139" s="60">
        <v>0</v>
      </c>
      <c r="I139" s="60">
        <v>9.8000000000000007</v>
      </c>
      <c r="J139" s="60">
        <v>38</v>
      </c>
      <c r="K139" s="36" t="s">
        <v>114</v>
      </c>
      <c r="L139" s="44"/>
    </row>
    <row r="140" spans="1:12" ht="18" customHeight="1" thickBot="1" x14ac:dyDescent="0.3">
      <c r="A140" s="8" t="s">
        <v>26</v>
      </c>
      <c r="B140" s="8" t="s">
        <v>26</v>
      </c>
      <c r="C140" s="8" t="s">
        <v>26</v>
      </c>
      <c r="D140" s="15" t="s">
        <v>37</v>
      </c>
      <c r="E140" s="19" t="s">
        <v>45</v>
      </c>
      <c r="F140" s="65">
        <v>50</v>
      </c>
      <c r="G140" s="90">
        <f>SUM(F140*1.68/30)</f>
        <v>2.8</v>
      </c>
      <c r="H140" s="90">
        <f>SUM(F140*0.33/30)</f>
        <v>0.55000000000000004</v>
      </c>
      <c r="I140" s="90">
        <f>SUM(F140*14.82/30)</f>
        <v>24.7</v>
      </c>
      <c r="J140" s="90">
        <f>SUM(F140*68.97/30)</f>
        <v>114.95</v>
      </c>
      <c r="K140" s="36" t="s">
        <v>46</v>
      </c>
      <c r="L140" s="44"/>
    </row>
    <row r="141" spans="1:12" ht="18" customHeight="1" x14ac:dyDescent="0.25">
      <c r="A141" s="8" t="s">
        <v>26</v>
      </c>
      <c r="B141" s="8" t="s">
        <v>26</v>
      </c>
      <c r="C141" s="8" t="s">
        <v>26</v>
      </c>
      <c r="D141" s="10"/>
      <c r="E141" s="50"/>
      <c r="F141" s="25"/>
      <c r="G141" s="61"/>
      <c r="H141" s="61"/>
      <c r="I141" s="61"/>
      <c r="J141" s="61"/>
      <c r="K141" s="36"/>
      <c r="L141" s="44"/>
    </row>
    <row r="142" spans="1:12" ht="18" customHeight="1" x14ac:dyDescent="0.25">
      <c r="A142" s="8" t="s">
        <v>26</v>
      </c>
      <c r="B142" s="8" t="s">
        <v>26</v>
      </c>
      <c r="C142" s="8" t="s">
        <v>26</v>
      </c>
      <c r="D142" s="10"/>
      <c r="E142" s="50"/>
      <c r="F142" s="25"/>
      <c r="G142" s="61"/>
      <c r="H142" s="61"/>
      <c r="I142" s="61"/>
      <c r="J142" s="61"/>
      <c r="K142" s="36"/>
      <c r="L142" s="44"/>
    </row>
    <row r="143" spans="1:12" ht="18" customHeight="1" x14ac:dyDescent="0.25">
      <c r="A143" s="11"/>
      <c r="B143" s="11"/>
      <c r="C143" s="11" t="s">
        <v>29</v>
      </c>
      <c r="D143" s="12"/>
      <c r="E143" s="51"/>
      <c r="F143" s="27">
        <f>SUM(F137:F142)</f>
        <v>550</v>
      </c>
      <c r="G143" s="62">
        <f>SUM(G137:G142)</f>
        <v>48.699999999999996</v>
      </c>
      <c r="H143" s="62">
        <f>SUM(H137:H142)</f>
        <v>34.629999999999995</v>
      </c>
      <c r="I143" s="62">
        <f>SUM(I137:I142)</f>
        <v>100.78</v>
      </c>
      <c r="J143" s="62">
        <f>SUM(J137:J142)</f>
        <v>905.75</v>
      </c>
      <c r="K143" s="37"/>
      <c r="L143" s="45">
        <f>SUM(L137:L142)</f>
        <v>0</v>
      </c>
    </row>
    <row r="144" spans="1:12" ht="18" customHeight="1" x14ac:dyDescent="0.25">
      <c r="A144" s="5">
        <v>2</v>
      </c>
      <c r="B144" s="5">
        <v>2</v>
      </c>
      <c r="C144" s="5" t="s">
        <v>30</v>
      </c>
      <c r="D144" s="20" t="s">
        <v>31</v>
      </c>
      <c r="E144" s="80" t="s">
        <v>144</v>
      </c>
      <c r="F144" s="17">
        <v>60</v>
      </c>
      <c r="G144" s="65">
        <f>F144*1.3/100</f>
        <v>0.78</v>
      </c>
      <c r="H144" s="65">
        <f>F144*6/100</f>
        <v>3.6</v>
      </c>
      <c r="I144" s="65">
        <f>F144*6/100</f>
        <v>3.6</v>
      </c>
      <c r="J144" s="65">
        <f>F144*86/100</f>
        <v>51.6</v>
      </c>
      <c r="K144" s="36" t="s">
        <v>148</v>
      </c>
      <c r="L144" s="44"/>
    </row>
    <row r="145" spans="1:12" ht="18" customHeight="1" x14ac:dyDescent="0.25">
      <c r="A145" s="8" t="s">
        <v>26</v>
      </c>
      <c r="B145" s="8" t="s">
        <v>26</v>
      </c>
      <c r="C145" s="8" t="s">
        <v>26</v>
      </c>
      <c r="D145" s="20" t="s">
        <v>32</v>
      </c>
      <c r="E145" s="16" t="s">
        <v>145</v>
      </c>
      <c r="F145" s="17">
        <v>200</v>
      </c>
      <c r="G145" s="65">
        <f>F145*9.7/250</f>
        <v>7.7599999999999989</v>
      </c>
      <c r="H145" s="65">
        <f>F145*4.8/250</f>
        <v>3.84</v>
      </c>
      <c r="I145" s="65">
        <f>F145*13.1/250</f>
        <v>10.48</v>
      </c>
      <c r="J145" s="65">
        <f>F145*133/250</f>
        <v>106.4</v>
      </c>
      <c r="K145" s="36" t="s">
        <v>149</v>
      </c>
      <c r="L145" s="44"/>
    </row>
    <row r="146" spans="1:12" ht="18" customHeight="1" x14ac:dyDescent="0.25">
      <c r="A146" s="8" t="s">
        <v>26</v>
      </c>
      <c r="B146" s="8" t="s">
        <v>26</v>
      </c>
      <c r="C146" s="8" t="s">
        <v>26</v>
      </c>
      <c r="D146" s="20" t="s">
        <v>33</v>
      </c>
      <c r="E146" s="16" t="s">
        <v>146</v>
      </c>
      <c r="F146" s="17">
        <v>90</v>
      </c>
      <c r="G146" s="65">
        <f>F146*13.41/90</f>
        <v>13.41</v>
      </c>
      <c r="H146" s="65">
        <f>F146*14.13/90</f>
        <v>14.13</v>
      </c>
      <c r="I146" s="65">
        <f>F146*4.23/90</f>
        <v>4.2300000000000004</v>
      </c>
      <c r="J146" s="65">
        <f>F146*198.9/90</f>
        <v>198.9</v>
      </c>
      <c r="K146" s="36" t="s">
        <v>150</v>
      </c>
      <c r="L146" s="44"/>
    </row>
    <row r="147" spans="1:12" ht="18" customHeight="1" x14ac:dyDescent="0.25">
      <c r="A147" s="8" t="s">
        <v>26</v>
      </c>
      <c r="B147" s="8" t="s">
        <v>26</v>
      </c>
      <c r="C147" s="8" t="s">
        <v>26</v>
      </c>
      <c r="D147" s="20" t="s">
        <v>34</v>
      </c>
      <c r="E147" s="19" t="s">
        <v>106</v>
      </c>
      <c r="F147" s="56">
        <v>150</v>
      </c>
      <c r="G147" s="65">
        <f>F147*7.1/200</f>
        <v>5.3250000000000002</v>
      </c>
      <c r="H147" s="65">
        <f>F147*4/200</f>
        <v>3</v>
      </c>
      <c r="I147" s="65">
        <f>F147*43.2/200</f>
        <v>32.4</v>
      </c>
      <c r="J147" s="65">
        <f>F147*237/200</f>
        <v>177.75</v>
      </c>
      <c r="K147" s="36" t="s">
        <v>118</v>
      </c>
      <c r="L147" s="44"/>
    </row>
    <row r="148" spans="1:12" ht="18" customHeight="1" x14ac:dyDescent="0.25">
      <c r="A148" s="8" t="s">
        <v>26</v>
      </c>
      <c r="B148" s="8" t="s">
        <v>26</v>
      </c>
      <c r="C148" s="8" t="s">
        <v>26</v>
      </c>
      <c r="D148" s="20" t="s">
        <v>35</v>
      </c>
      <c r="E148" s="93" t="s">
        <v>185</v>
      </c>
      <c r="F148" s="94">
        <v>200</v>
      </c>
      <c r="G148" s="1">
        <v>0</v>
      </c>
      <c r="H148" s="1">
        <v>0</v>
      </c>
      <c r="I148" s="1">
        <v>27.8</v>
      </c>
      <c r="J148" s="33">
        <v>111</v>
      </c>
      <c r="K148" s="36" t="s">
        <v>82</v>
      </c>
      <c r="L148" s="44"/>
    </row>
    <row r="149" spans="1:12" ht="18" customHeight="1" x14ac:dyDescent="0.25">
      <c r="A149" s="8" t="s">
        <v>26</v>
      </c>
      <c r="B149" s="8" t="s">
        <v>26</v>
      </c>
      <c r="C149" s="8" t="s">
        <v>26</v>
      </c>
      <c r="D149" s="20" t="s">
        <v>36</v>
      </c>
      <c r="E149" s="19" t="s">
        <v>52</v>
      </c>
      <c r="F149" s="17">
        <v>50</v>
      </c>
      <c r="G149" s="65">
        <f>SUM(F149*2.37/30)</f>
        <v>3.95</v>
      </c>
      <c r="H149" s="65">
        <f>SUM(F149*0.3/30)</f>
        <v>0.5</v>
      </c>
      <c r="I149" s="65">
        <f>SUM(F149*14.49/30)</f>
        <v>24.15</v>
      </c>
      <c r="J149" s="65">
        <f>SUM(F149*70.14/30)</f>
        <v>116.9</v>
      </c>
      <c r="K149" s="36" t="s">
        <v>46</v>
      </c>
      <c r="L149" s="44"/>
    </row>
    <row r="150" spans="1:12" ht="18" customHeight="1" x14ac:dyDescent="0.25">
      <c r="A150" s="8" t="s">
        <v>26</v>
      </c>
      <c r="B150" s="8" t="s">
        <v>26</v>
      </c>
      <c r="C150" s="8" t="s">
        <v>26</v>
      </c>
      <c r="D150" s="20" t="s">
        <v>37</v>
      </c>
      <c r="E150" s="19" t="s">
        <v>45</v>
      </c>
      <c r="F150" s="17">
        <v>40</v>
      </c>
      <c r="G150" s="65">
        <f>SUM(F150*1.68/30)</f>
        <v>2.2400000000000002</v>
      </c>
      <c r="H150" s="65">
        <f>SUM(F150*0.33/30)</f>
        <v>0.44000000000000006</v>
      </c>
      <c r="I150" s="65">
        <f>SUM(F150*14.82/30)</f>
        <v>19.759999999999998</v>
      </c>
      <c r="J150" s="65">
        <f>SUM(F150*68.97/30)</f>
        <v>91.960000000000008</v>
      </c>
      <c r="K150" s="36" t="s">
        <v>46</v>
      </c>
      <c r="L150" s="44"/>
    </row>
    <row r="151" spans="1:12" ht="18" customHeight="1" x14ac:dyDescent="0.25">
      <c r="A151" s="8" t="s">
        <v>26</v>
      </c>
      <c r="B151" s="8" t="s">
        <v>26</v>
      </c>
      <c r="C151" s="8" t="s">
        <v>26</v>
      </c>
      <c r="D151" s="23"/>
      <c r="E151" s="54"/>
      <c r="F151" s="29"/>
      <c r="G151" s="66"/>
      <c r="H151" s="66"/>
      <c r="I151" s="66"/>
      <c r="J151" s="66"/>
      <c r="K151" s="36"/>
      <c r="L151" s="44"/>
    </row>
    <row r="152" spans="1:12" ht="18" customHeight="1" x14ac:dyDescent="0.25">
      <c r="A152" s="8" t="s">
        <v>26</v>
      </c>
      <c r="B152" s="8" t="s">
        <v>26</v>
      </c>
      <c r="C152" s="8" t="s">
        <v>26</v>
      </c>
      <c r="D152" s="10"/>
      <c r="E152" s="50"/>
      <c r="F152" s="25"/>
      <c r="G152" s="61"/>
      <c r="H152" s="61"/>
      <c r="I152" s="61"/>
      <c r="J152" s="61"/>
      <c r="K152" s="36"/>
      <c r="L152" s="44"/>
    </row>
    <row r="153" spans="1:12" ht="18" customHeight="1" x14ac:dyDescent="0.25">
      <c r="A153" s="11"/>
      <c r="B153" s="11"/>
      <c r="C153" s="11" t="s">
        <v>29</v>
      </c>
      <c r="D153" s="12"/>
      <c r="E153" s="97"/>
      <c r="F153" s="98">
        <f>SUM(F144:F152)</f>
        <v>790</v>
      </c>
      <c r="G153" s="99">
        <f>SUM(G144:G152)</f>
        <v>33.464999999999996</v>
      </c>
      <c r="H153" s="99">
        <f>SUM(H144:H152)</f>
        <v>25.51</v>
      </c>
      <c r="I153" s="99">
        <f>SUM(I144:I152)</f>
        <v>122.41999999999999</v>
      </c>
      <c r="J153" s="99">
        <f>SUM(J144:J152)</f>
        <v>854.51</v>
      </c>
      <c r="K153" s="37"/>
      <c r="L153" s="45">
        <f>SUM(L144:L152)</f>
        <v>0</v>
      </c>
    </row>
    <row r="154" spans="1:12" ht="18" customHeight="1" x14ac:dyDescent="0.25">
      <c r="A154" s="5">
        <v>2</v>
      </c>
      <c r="B154" s="5">
        <v>2</v>
      </c>
      <c r="C154" s="5" t="s">
        <v>38</v>
      </c>
      <c r="D154" s="95" t="s">
        <v>39</v>
      </c>
      <c r="E154" s="100" t="s">
        <v>186</v>
      </c>
      <c r="F154" s="101">
        <v>100</v>
      </c>
      <c r="G154" s="101">
        <f>F154*4/65</f>
        <v>6.1538461538461542</v>
      </c>
      <c r="H154" s="101">
        <f>F154*10.2/65</f>
        <v>15.69230769230769</v>
      </c>
      <c r="I154" s="101">
        <f>F154*23.1/65</f>
        <v>35.53846153846154</v>
      </c>
      <c r="J154" s="101">
        <f>F154*200.2/65</f>
        <v>308</v>
      </c>
      <c r="K154" s="96" t="s">
        <v>130</v>
      </c>
      <c r="L154" s="44"/>
    </row>
    <row r="155" spans="1:12" ht="18" customHeight="1" x14ac:dyDescent="0.25">
      <c r="A155" s="8" t="s">
        <v>26</v>
      </c>
      <c r="B155" s="8" t="s">
        <v>26</v>
      </c>
      <c r="C155" s="8" t="s">
        <v>26</v>
      </c>
      <c r="D155" s="95" t="s">
        <v>35</v>
      </c>
      <c r="E155" s="16" t="s">
        <v>80</v>
      </c>
      <c r="F155" s="17">
        <v>200</v>
      </c>
      <c r="G155" s="65">
        <v>0.4</v>
      </c>
      <c r="H155" s="65">
        <v>0.4</v>
      </c>
      <c r="I155" s="65">
        <v>18.7</v>
      </c>
      <c r="J155" s="65">
        <v>80</v>
      </c>
      <c r="K155" s="96" t="s">
        <v>82</v>
      </c>
      <c r="L155" s="44"/>
    </row>
    <row r="156" spans="1:12" ht="18" customHeight="1" x14ac:dyDescent="0.25">
      <c r="A156" s="11"/>
      <c r="B156" s="11"/>
      <c r="C156" s="11" t="s">
        <v>29</v>
      </c>
      <c r="D156" s="12"/>
      <c r="E156" s="51"/>
      <c r="F156" s="27">
        <f>SUM(F154:F155)</f>
        <v>300</v>
      </c>
      <c r="G156" s="62">
        <f>SUM(G154:G155)</f>
        <v>6.5538461538461545</v>
      </c>
      <c r="H156" s="62">
        <f>SUM(H154:H155)</f>
        <v>16.092307692307688</v>
      </c>
      <c r="I156" s="62">
        <f>SUM(I154:I155)</f>
        <v>54.238461538461536</v>
      </c>
      <c r="J156" s="62">
        <f>SUM(J154:J155)</f>
        <v>388</v>
      </c>
      <c r="K156" s="37"/>
      <c r="L156" s="45">
        <f>SUM(L154:L155)</f>
        <v>0</v>
      </c>
    </row>
    <row r="157" spans="1:12" ht="18" customHeight="1" x14ac:dyDescent="0.25">
      <c r="A157" s="13"/>
      <c r="B157" s="13"/>
      <c r="C157" s="13" t="s">
        <v>40</v>
      </c>
      <c r="D157" s="14"/>
      <c r="E157" s="52"/>
      <c r="F157" s="28">
        <f>F143+F153+F156</f>
        <v>1640</v>
      </c>
      <c r="G157" s="64">
        <f>G143+G153+G156</f>
        <v>88.718846153846144</v>
      </c>
      <c r="H157" s="64">
        <f>H143+H153+H156</f>
        <v>76.232307692307685</v>
      </c>
      <c r="I157" s="64">
        <f>I143+I153+I156</f>
        <v>277.43846153846152</v>
      </c>
      <c r="J157" s="64">
        <f>J143+J153+J156</f>
        <v>2148.2600000000002</v>
      </c>
      <c r="K157" s="38"/>
      <c r="L157" s="46">
        <f>L143+L153+L156</f>
        <v>0</v>
      </c>
    </row>
    <row r="158" spans="1:12" ht="18" customHeight="1" x14ac:dyDescent="0.25">
      <c r="A158" s="5">
        <v>2</v>
      </c>
      <c r="B158" s="5">
        <v>3</v>
      </c>
      <c r="C158" s="5" t="s">
        <v>24</v>
      </c>
      <c r="D158" s="15" t="s">
        <v>25</v>
      </c>
      <c r="E158" s="19" t="s">
        <v>151</v>
      </c>
      <c r="F158" s="65">
        <v>250</v>
      </c>
      <c r="G158" s="60">
        <f>F158*6/200</f>
        <v>7.5</v>
      </c>
      <c r="H158" s="60">
        <f>F158*5.3/200</f>
        <v>6.625</v>
      </c>
      <c r="I158" s="60">
        <f>F158*30.7/200</f>
        <v>38.375</v>
      </c>
      <c r="J158" s="60">
        <f>F158*201/200</f>
        <v>251.25</v>
      </c>
      <c r="K158" s="36" t="s">
        <v>155</v>
      </c>
      <c r="L158" s="44"/>
    </row>
    <row r="159" spans="1:12" ht="18" customHeight="1" x14ac:dyDescent="0.25">
      <c r="A159" s="8" t="s">
        <v>26</v>
      </c>
      <c r="B159" s="8" t="s">
        <v>26</v>
      </c>
      <c r="C159" s="8" t="s">
        <v>26</v>
      </c>
      <c r="D159" s="18" t="s">
        <v>36</v>
      </c>
      <c r="E159" s="19" t="s">
        <v>44</v>
      </c>
      <c r="F159" s="65">
        <v>70</v>
      </c>
      <c r="G159" s="65">
        <f>F159*7.3/60</f>
        <v>8.5166666666666675</v>
      </c>
      <c r="H159" s="65">
        <f>F159*4.4/60</f>
        <v>5.1333333333333337</v>
      </c>
      <c r="I159" s="65">
        <f>F159*21/60</f>
        <v>24.5</v>
      </c>
      <c r="J159" s="65">
        <f>F159*153.24/60</f>
        <v>178.78000000000003</v>
      </c>
      <c r="K159" s="36" t="s">
        <v>156</v>
      </c>
      <c r="L159" s="44"/>
    </row>
    <row r="160" spans="1:12" ht="18" customHeight="1" x14ac:dyDescent="0.25">
      <c r="A160" s="8" t="s">
        <v>26</v>
      </c>
      <c r="B160" s="8" t="s">
        <v>26</v>
      </c>
      <c r="C160" s="8" t="s">
        <v>26</v>
      </c>
      <c r="D160" s="15" t="s">
        <v>27</v>
      </c>
      <c r="E160" s="102" t="s">
        <v>43</v>
      </c>
      <c r="F160" s="60">
        <v>200</v>
      </c>
      <c r="G160" s="60">
        <v>3.1</v>
      </c>
      <c r="H160" s="60">
        <v>3.2</v>
      </c>
      <c r="I160" s="60">
        <v>14.4</v>
      </c>
      <c r="J160" s="103">
        <v>99</v>
      </c>
      <c r="K160" s="36" t="s">
        <v>184</v>
      </c>
      <c r="L160" s="44"/>
    </row>
    <row r="161" spans="1:12" ht="18" customHeight="1" x14ac:dyDescent="0.25">
      <c r="A161" s="8" t="s">
        <v>26</v>
      </c>
      <c r="B161" s="8" t="s">
        <v>26</v>
      </c>
      <c r="C161" s="8" t="s">
        <v>26</v>
      </c>
      <c r="D161" s="15" t="s">
        <v>37</v>
      </c>
      <c r="E161" s="19" t="s">
        <v>45</v>
      </c>
      <c r="F161" s="65">
        <v>50</v>
      </c>
      <c r="G161" s="65">
        <f>SUM(F161*1.68/30)</f>
        <v>2.8</v>
      </c>
      <c r="H161" s="65">
        <f>SUM(F161*0.33/30)</f>
        <v>0.55000000000000004</v>
      </c>
      <c r="I161" s="65">
        <f>SUM(F161*14.82/30)</f>
        <v>24.7</v>
      </c>
      <c r="J161" s="65">
        <f>SUM(F161*68.97/30)</f>
        <v>114.95</v>
      </c>
      <c r="K161" s="36" t="s">
        <v>46</v>
      </c>
      <c r="L161" s="44"/>
    </row>
    <row r="162" spans="1:12" ht="18" customHeight="1" x14ac:dyDescent="0.25">
      <c r="A162" s="8" t="s">
        <v>26</v>
      </c>
      <c r="B162" s="8" t="s">
        <v>26</v>
      </c>
      <c r="C162" s="8" t="s">
        <v>26</v>
      </c>
      <c r="D162" s="10"/>
      <c r="E162" s="50"/>
      <c r="F162" s="25"/>
      <c r="G162" s="61"/>
      <c r="H162" s="61"/>
      <c r="I162" s="61"/>
      <c r="J162" s="61"/>
      <c r="K162" s="36"/>
      <c r="L162" s="44"/>
    </row>
    <row r="163" spans="1:12" ht="18" customHeight="1" x14ac:dyDescent="0.25">
      <c r="A163" s="8" t="s">
        <v>26</v>
      </c>
      <c r="B163" s="8" t="s">
        <v>26</v>
      </c>
      <c r="C163" s="8" t="s">
        <v>26</v>
      </c>
      <c r="D163" s="10"/>
      <c r="E163" s="50"/>
      <c r="F163" s="25"/>
      <c r="G163" s="61"/>
      <c r="H163" s="61"/>
      <c r="I163" s="61"/>
      <c r="J163" s="61"/>
      <c r="K163" s="36"/>
      <c r="L163" s="44"/>
    </row>
    <row r="164" spans="1:12" ht="18" customHeight="1" x14ac:dyDescent="0.25">
      <c r="A164" s="11"/>
      <c r="B164" s="11"/>
      <c r="C164" s="11" t="s">
        <v>29</v>
      </c>
      <c r="D164" s="12"/>
      <c r="E164" s="51"/>
      <c r="F164" s="27">
        <f>SUM(F158:F163)</f>
        <v>570</v>
      </c>
      <c r="G164" s="62">
        <f>SUM(G158:G163)</f>
        <v>21.916666666666668</v>
      </c>
      <c r="H164" s="62">
        <f>SUM(H158:H163)</f>
        <v>15.508333333333333</v>
      </c>
      <c r="I164" s="62">
        <f>SUM(I158:I163)</f>
        <v>101.97500000000001</v>
      </c>
      <c r="J164" s="62">
        <f>SUM(J158:J163)</f>
        <v>643.98</v>
      </c>
      <c r="K164" s="37"/>
      <c r="L164" s="45">
        <f>SUM(L158:L163)</f>
        <v>0</v>
      </c>
    </row>
    <row r="165" spans="1:12" ht="31.5" customHeight="1" x14ac:dyDescent="0.25">
      <c r="A165" s="5">
        <v>2</v>
      </c>
      <c r="B165" s="5">
        <v>3</v>
      </c>
      <c r="C165" s="5" t="s">
        <v>30</v>
      </c>
      <c r="D165" s="15" t="s">
        <v>31</v>
      </c>
      <c r="E165" s="16" t="s">
        <v>152</v>
      </c>
      <c r="F165" s="60">
        <v>100</v>
      </c>
      <c r="G165" s="60">
        <f>F165*1.3/100</f>
        <v>1.3</v>
      </c>
      <c r="H165" s="60">
        <f>F165*6/100</f>
        <v>6</v>
      </c>
      <c r="I165" s="60">
        <f>F165*3.6/100</f>
        <v>3.6</v>
      </c>
      <c r="J165" s="86">
        <f>F165*74/100</f>
        <v>74</v>
      </c>
      <c r="K165" s="36" t="s">
        <v>157</v>
      </c>
      <c r="L165" s="44"/>
    </row>
    <row r="166" spans="1:12" ht="18" customHeight="1" x14ac:dyDescent="0.25">
      <c r="A166" s="8" t="s">
        <v>26</v>
      </c>
      <c r="B166" s="8" t="s">
        <v>26</v>
      </c>
      <c r="C166" s="8" t="s">
        <v>26</v>
      </c>
      <c r="D166" s="15" t="s">
        <v>32</v>
      </c>
      <c r="E166" s="16" t="s">
        <v>154</v>
      </c>
      <c r="F166" s="60">
        <v>250</v>
      </c>
      <c r="G166" s="60">
        <f>F166*3.2/250+1.6+2</f>
        <v>6.8000000000000007</v>
      </c>
      <c r="H166" s="60">
        <f>F166*3.7/250+1.7+5</f>
        <v>10.4</v>
      </c>
      <c r="I166" s="60">
        <f>F166*15.5/250+2</f>
        <v>17.5</v>
      </c>
      <c r="J166" s="86">
        <f>F166*111/250+22+58</f>
        <v>191</v>
      </c>
      <c r="K166" s="36" t="s">
        <v>158</v>
      </c>
      <c r="L166" s="44"/>
    </row>
    <row r="167" spans="1:12" ht="18" customHeight="1" x14ac:dyDescent="0.25">
      <c r="A167" s="8" t="s">
        <v>26</v>
      </c>
      <c r="B167" s="8" t="s">
        <v>26</v>
      </c>
      <c r="C167" s="8" t="s">
        <v>26</v>
      </c>
      <c r="D167" s="15" t="s">
        <v>33</v>
      </c>
      <c r="E167" s="16" t="s">
        <v>187</v>
      </c>
      <c r="F167" s="60">
        <v>120</v>
      </c>
      <c r="G167" s="60">
        <f>F167*11.6/100</f>
        <v>13.92</v>
      </c>
      <c r="H167" s="60">
        <f>F167*12.1/100</f>
        <v>14.52</v>
      </c>
      <c r="I167" s="60">
        <f>F167*11.2/100</f>
        <v>13.44</v>
      </c>
      <c r="J167" s="86">
        <f>F167*200/100</f>
        <v>240</v>
      </c>
      <c r="K167" s="36" t="s">
        <v>159</v>
      </c>
      <c r="L167" s="44"/>
    </row>
    <row r="168" spans="1:12" ht="18" customHeight="1" x14ac:dyDescent="0.25">
      <c r="A168" s="8" t="s">
        <v>26</v>
      </c>
      <c r="B168" s="8" t="s">
        <v>26</v>
      </c>
      <c r="C168" s="8" t="s">
        <v>26</v>
      </c>
      <c r="D168" s="15" t="s">
        <v>34</v>
      </c>
      <c r="E168" s="16" t="s">
        <v>68</v>
      </c>
      <c r="F168" s="60">
        <v>200</v>
      </c>
      <c r="G168" s="60">
        <f>F168*6.63/150</f>
        <v>8.84</v>
      </c>
      <c r="H168" s="60">
        <f>F168*4.44/150</f>
        <v>5.9200000000000008</v>
      </c>
      <c r="I168" s="60">
        <f>F168*28.8/150</f>
        <v>38.4</v>
      </c>
      <c r="J168" s="86">
        <f>F168*181.5/150</f>
        <v>242</v>
      </c>
      <c r="K168" s="36" t="s">
        <v>77</v>
      </c>
      <c r="L168" s="44"/>
    </row>
    <row r="169" spans="1:12" ht="18" customHeight="1" x14ac:dyDescent="0.25">
      <c r="A169" s="8" t="s">
        <v>26</v>
      </c>
      <c r="B169" s="8" t="s">
        <v>26</v>
      </c>
      <c r="C169" s="8" t="s">
        <v>26</v>
      </c>
      <c r="D169" s="15" t="s">
        <v>35</v>
      </c>
      <c r="E169" s="16" t="s">
        <v>58</v>
      </c>
      <c r="F169" s="60">
        <v>200</v>
      </c>
      <c r="G169" s="60">
        <v>1</v>
      </c>
      <c r="H169" s="60">
        <v>0.1</v>
      </c>
      <c r="I169" s="60">
        <v>19.8</v>
      </c>
      <c r="J169" s="86">
        <v>84</v>
      </c>
      <c r="K169" s="36" t="s">
        <v>61</v>
      </c>
      <c r="L169" s="44"/>
    </row>
    <row r="170" spans="1:12" ht="18" customHeight="1" x14ac:dyDescent="0.25">
      <c r="A170" s="8" t="s">
        <v>26</v>
      </c>
      <c r="B170" s="8" t="s">
        <v>26</v>
      </c>
      <c r="C170" s="8" t="s">
        <v>26</v>
      </c>
      <c r="D170" s="15" t="s">
        <v>37</v>
      </c>
      <c r="E170" s="19" t="s">
        <v>45</v>
      </c>
      <c r="F170" s="60">
        <v>50</v>
      </c>
      <c r="G170" s="104">
        <f>SUM(F170*1.68/30)</f>
        <v>2.8</v>
      </c>
      <c r="H170" s="60">
        <f>SUM(F170*0.33/30)</f>
        <v>0.55000000000000004</v>
      </c>
      <c r="I170" s="60">
        <f>SUM(F170*14.82/30)</f>
        <v>24.7</v>
      </c>
      <c r="J170" s="86">
        <f>SUM(F170*68.97/30)</f>
        <v>114.95</v>
      </c>
      <c r="K170" s="36" t="s">
        <v>46</v>
      </c>
      <c r="L170" s="44"/>
    </row>
    <row r="171" spans="1:12" ht="18" customHeight="1" x14ac:dyDescent="0.25">
      <c r="A171" s="8" t="s">
        <v>26</v>
      </c>
      <c r="B171" s="8" t="s">
        <v>26</v>
      </c>
      <c r="C171" s="8" t="s">
        <v>26</v>
      </c>
      <c r="D171" s="15" t="s">
        <v>36</v>
      </c>
      <c r="E171" s="16" t="s">
        <v>153</v>
      </c>
      <c r="F171" s="60">
        <v>50</v>
      </c>
      <c r="G171" s="104">
        <f>SUM(F171*2.37/30)</f>
        <v>3.95</v>
      </c>
      <c r="H171" s="60">
        <f>SUM(F171*0.3/30)</f>
        <v>0.5</v>
      </c>
      <c r="I171" s="60">
        <f>SUM(F171*14.49/30)</f>
        <v>24.15</v>
      </c>
      <c r="J171" s="86">
        <f>SUM(F171*70.14/30)</f>
        <v>116.9</v>
      </c>
      <c r="K171" s="36" t="s">
        <v>160</v>
      </c>
      <c r="L171" s="44"/>
    </row>
    <row r="172" spans="1:12" ht="18" customHeight="1" x14ac:dyDescent="0.25">
      <c r="A172" s="8" t="s">
        <v>26</v>
      </c>
      <c r="B172" s="8" t="s">
        <v>26</v>
      </c>
      <c r="C172" s="8" t="s">
        <v>26</v>
      </c>
      <c r="D172" s="10"/>
      <c r="E172" s="50"/>
      <c r="F172" s="105"/>
      <c r="G172" s="105"/>
      <c r="H172" s="105"/>
      <c r="I172" s="105"/>
      <c r="J172" s="105"/>
      <c r="K172" s="36"/>
      <c r="L172" s="44"/>
    </row>
    <row r="173" spans="1:12" ht="18" customHeight="1" x14ac:dyDescent="0.25">
      <c r="A173" s="8" t="s">
        <v>26</v>
      </c>
      <c r="B173" s="8" t="s">
        <v>26</v>
      </c>
      <c r="C173" s="8" t="s">
        <v>26</v>
      </c>
      <c r="D173" s="10"/>
      <c r="E173" s="50"/>
      <c r="F173" s="25"/>
      <c r="G173" s="61"/>
      <c r="H173" s="61"/>
      <c r="I173" s="61"/>
      <c r="J173" s="61"/>
      <c r="K173" s="36"/>
      <c r="L173" s="44"/>
    </row>
    <row r="174" spans="1:12" ht="18" customHeight="1" x14ac:dyDescent="0.25">
      <c r="A174" s="11"/>
      <c r="B174" s="11"/>
      <c r="C174" s="11" t="s">
        <v>29</v>
      </c>
      <c r="D174" s="12"/>
      <c r="E174" s="51"/>
      <c r="F174" s="27">
        <f>SUM(F165:F173)</f>
        <v>970</v>
      </c>
      <c r="G174" s="62">
        <f>SUM(G165:G173)</f>
        <v>38.610000000000007</v>
      </c>
      <c r="H174" s="62">
        <f>SUM(H165:H173)</f>
        <v>37.989999999999995</v>
      </c>
      <c r="I174" s="62">
        <f>SUM(I165:I173)</f>
        <v>141.59</v>
      </c>
      <c r="J174" s="62">
        <f>SUM(J165:J173)</f>
        <v>1062.8500000000001</v>
      </c>
      <c r="K174" s="37"/>
      <c r="L174" s="45">
        <f>SUM(L165:L173)</f>
        <v>0</v>
      </c>
    </row>
    <row r="175" spans="1:12" ht="18" customHeight="1" x14ac:dyDescent="0.25">
      <c r="A175" s="5">
        <v>2</v>
      </c>
      <c r="B175" s="5">
        <v>3</v>
      </c>
      <c r="C175" s="5" t="s">
        <v>38</v>
      </c>
      <c r="D175" s="15" t="s">
        <v>39</v>
      </c>
      <c r="E175" s="19" t="s">
        <v>59</v>
      </c>
      <c r="F175" s="65">
        <v>100</v>
      </c>
      <c r="G175" s="60">
        <f>F175*5.7/60</f>
        <v>9.5</v>
      </c>
      <c r="H175" s="60">
        <f>F175*7/60</f>
        <v>11.666666666666666</v>
      </c>
      <c r="I175" s="60">
        <f>F175*28.8/60</f>
        <v>48</v>
      </c>
      <c r="J175" s="86">
        <f>F175*205/60</f>
        <v>341.66666666666669</v>
      </c>
      <c r="K175" s="36" t="s">
        <v>62</v>
      </c>
      <c r="L175" s="44"/>
    </row>
    <row r="176" spans="1:12" ht="18" customHeight="1" x14ac:dyDescent="0.25">
      <c r="A176" s="8" t="s">
        <v>26</v>
      </c>
      <c r="B176" s="8" t="s">
        <v>26</v>
      </c>
      <c r="C176" s="8" t="s">
        <v>26</v>
      </c>
      <c r="D176" s="15" t="s">
        <v>35</v>
      </c>
      <c r="E176" s="19" t="s">
        <v>103</v>
      </c>
      <c r="F176" s="92">
        <v>200</v>
      </c>
      <c r="G176" s="65">
        <v>0.1</v>
      </c>
      <c r="H176" s="65">
        <v>0</v>
      </c>
      <c r="I176" s="65">
        <v>9.8000000000000007</v>
      </c>
      <c r="J176" s="65">
        <v>39</v>
      </c>
      <c r="K176" s="36" t="s">
        <v>114</v>
      </c>
      <c r="L176" s="44"/>
    </row>
    <row r="177" spans="1:12" ht="18" customHeight="1" x14ac:dyDescent="0.25">
      <c r="A177" s="8"/>
      <c r="B177" s="8"/>
      <c r="C177" s="8"/>
      <c r="D177" s="15" t="s">
        <v>28</v>
      </c>
      <c r="E177" s="19" t="s">
        <v>60</v>
      </c>
      <c r="F177" s="17">
        <v>100</v>
      </c>
      <c r="G177" s="65">
        <f>F177*0.4/100</f>
        <v>0.4</v>
      </c>
      <c r="H177" s="65">
        <f>F177*0.4/100</f>
        <v>0.4</v>
      </c>
      <c r="I177" s="65">
        <f>F177*9.8/100</f>
        <v>9.8000000000000007</v>
      </c>
      <c r="J177" s="65">
        <f>F177*47/100</f>
        <v>47</v>
      </c>
      <c r="K177" s="36" t="s">
        <v>46</v>
      </c>
      <c r="L177" s="44"/>
    </row>
    <row r="178" spans="1:12" ht="18" customHeight="1" x14ac:dyDescent="0.25">
      <c r="A178" s="11"/>
      <c r="B178" s="11"/>
      <c r="C178" s="11" t="s">
        <v>29</v>
      </c>
      <c r="D178" s="12"/>
      <c r="E178" s="51"/>
      <c r="F178" s="27">
        <f>SUM(F175:F177)</f>
        <v>400</v>
      </c>
      <c r="G178" s="62">
        <f t="shared" ref="G178:J178" si="5">SUM(G175:G177)</f>
        <v>10</v>
      </c>
      <c r="H178" s="62">
        <f t="shared" si="5"/>
        <v>12.066666666666666</v>
      </c>
      <c r="I178" s="62">
        <f t="shared" si="5"/>
        <v>67.599999999999994</v>
      </c>
      <c r="J178" s="62">
        <f t="shared" si="5"/>
        <v>427.66666666666669</v>
      </c>
      <c r="K178" s="37"/>
      <c r="L178" s="45"/>
    </row>
    <row r="179" spans="1:12" ht="18" customHeight="1" thickBot="1" x14ac:dyDescent="0.3">
      <c r="A179" s="13"/>
      <c r="B179" s="13"/>
      <c r="C179" s="13" t="s">
        <v>40</v>
      </c>
      <c r="D179" s="14"/>
      <c r="E179" s="52"/>
      <c r="F179" s="28">
        <f>F164+F174+F178</f>
        <v>1940</v>
      </c>
      <c r="G179" s="64">
        <f>G164+G174+G178</f>
        <v>70.526666666666671</v>
      </c>
      <c r="H179" s="64">
        <f>H164+H174+H178</f>
        <v>65.564999999999998</v>
      </c>
      <c r="I179" s="64">
        <f>I164+I174+I178</f>
        <v>311.16499999999996</v>
      </c>
      <c r="J179" s="64">
        <f>J164+J174+J178</f>
        <v>2134.4966666666669</v>
      </c>
      <c r="K179" s="38"/>
      <c r="L179" s="46">
        <f>L164+L174+L178</f>
        <v>0</v>
      </c>
    </row>
    <row r="180" spans="1:12" ht="18" customHeight="1" x14ac:dyDescent="0.25">
      <c r="A180" s="5">
        <v>2</v>
      </c>
      <c r="B180" s="5">
        <v>4</v>
      </c>
      <c r="C180" s="5" t="s">
        <v>24</v>
      </c>
      <c r="D180" s="15" t="s">
        <v>25</v>
      </c>
      <c r="E180" s="19" t="s">
        <v>161</v>
      </c>
      <c r="F180" s="65">
        <v>250</v>
      </c>
      <c r="G180" s="107">
        <f>F180*8.9/250</f>
        <v>8.9</v>
      </c>
      <c r="H180" s="107">
        <f>F180*10.5/250</f>
        <v>10.5</v>
      </c>
      <c r="I180" s="107">
        <f>F180*25.6/250</f>
        <v>25.6</v>
      </c>
      <c r="J180" s="108">
        <v>233</v>
      </c>
      <c r="K180" s="36" t="s">
        <v>164</v>
      </c>
      <c r="L180" s="44"/>
    </row>
    <row r="181" spans="1:12" ht="18" customHeight="1" x14ac:dyDescent="0.25">
      <c r="A181" s="8" t="s">
        <v>26</v>
      </c>
      <c r="B181" s="8" t="s">
        <v>26</v>
      </c>
      <c r="C181" s="8" t="s">
        <v>26</v>
      </c>
      <c r="D181" s="18" t="s">
        <v>25</v>
      </c>
      <c r="E181" s="19" t="s">
        <v>162</v>
      </c>
      <c r="F181" s="65">
        <v>40</v>
      </c>
      <c r="G181" s="65">
        <v>5.0999999999999996</v>
      </c>
      <c r="H181" s="65">
        <v>4.5999999999999996</v>
      </c>
      <c r="I181" s="65">
        <v>0.3</v>
      </c>
      <c r="J181" s="65">
        <v>63</v>
      </c>
      <c r="K181" s="36" t="s">
        <v>165</v>
      </c>
      <c r="L181" s="44"/>
    </row>
    <row r="182" spans="1:12" ht="18" customHeight="1" x14ac:dyDescent="0.25">
      <c r="A182" s="8" t="s">
        <v>26</v>
      </c>
      <c r="B182" s="8" t="s">
        <v>26</v>
      </c>
      <c r="C182" s="8" t="s">
        <v>26</v>
      </c>
      <c r="D182" s="15" t="s">
        <v>27</v>
      </c>
      <c r="E182" s="19" t="s">
        <v>188</v>
      </c>
      <c r="F182" s="65">
        <v>200</v>
      </c>
      <c r="G182" s="65">
        <v>1.5</v>
      </c>
      <c r="H182" s="65">
        <v>1.6</v>
      </c>
      <c r="I182" s="65">
        <v>12.1</v>
      </c>
      <c r="J182" s="65">
        <v>66</v>
      </c>
      <c r="K182" s="36" t="s">
        <v>189</v>
      </c>
      <c r="L182" s="44"/>
    </row>
    <row r="183" spans="1:12" ht="18" customHeight="1" x14ac:dyDescent="0.25">
      <c r="A183" s="8" t="s">
        <v>26</v>
      </c>
      <c r="B183" s="8" t="s">
        <v>26</v>
      </c>
      <c r="C183" s="8" t="s">
        <v>26</v>
      </c>
      <c r="D183" s="15" t="s">
        <v>36</v>
      </c>
      <c r="E183" s="81" t="s">
        <v>65</v>
      </c>
      <c r="F183" s="106">
        <v>50</v>
      </c>
      <c r="G183" s="106">
        <f>3.2*F183/50</f>
        <v>3.2</v>
      </c>
      <c r="H183" s="106">
        <f>7.7*F183/50</f>
        <v>7.7</v>
      </c>
      <c r="I183" s="106">
        <f>19.5*F183/50</f>
        <v>19.5</v>
      </c>
      <c r="J183" s="106">
        <f>160*F183/50</f>
        <v>160</v>
      </c>
      <c r="K183" s="36" t="s">
        <v>73</v>
      </c>
      <c r="L183" s="44"/>
    </row>
    <row r="184" spans="1:12" ht="18" customHeight="1" x14ac:dyDescent="0.25">
      <c r="A184" s="8" t="s">
        <v>26</v>
      </c>
      <c r="B184" s="8" t="s">
        <v>26</v>
      </c>
      <c r="C184" s="8" t="s">
        <v>26</v>
      </c>
      <c r="D184" s="18" t="s">
        <v>37</v>
      </c>
      <c r="E184" s="19" t="s">
        <v>45</v>
      </c>
      <c r="F184" s="65">
        <v>50</v>
      </c>
      <c r="G184" s="65">
        <f>SUM(F184*1.68/30)</f>
        <v>2.8</v>
      </c>
      <c r="H184" s="65">
        <f>SUM(F184*0.33/30)</f>
        <v>0.55000000000000004</v>
      </c>
      <c r="I184" s="65">
        <f>SUM(F184*14.82/30)</f>
        <v>24.7</v>
      </c>
      <c r="J184" s="65">
        <f>SUM(F184*68.97/30)</f>
        <v>114.95</v>
      </c>
      <c r="K184" s="36" t="s">
        <v>46</v>
      </c>
      <c r="L184" s="44"/>
    </row>
    <row r="185" spans="1:12" ht="18" customHeight="1" x14ac:dyDescent="0.25">
      <c r="A185" s="8" t="s">
        <v>26</v>
      </c>
      <c r="B185" s="8" t="s">
        <v>26</v>
      </c>
      <c r="C185" s="8" t="s">
        <v>26</v>
      </c>
      <c r="D185" s="10"/>
      <c r="E185" s="50"/>
      <c r="F185" s="25"/>
      <c r="G185" s="61"/>
      <c r="H185" s="61"/>
      <c r="I185" s="61"/>
      <c r="J185" s="61"/>
      <c r="K185" s="36"/>
      <c r="L185" s="44"/>
    </row>
    <row r="186" spans="1:12" ht="18" customHeight="1" x14ac:dyDescent="0.25">
      <c r="A186" s="11"/>
      <c r="B186" s="11"/>
      <c r="C186" s="11" t="s">
        <v>29</v>
      </c>
      <c r="D186" s="12"/>
      <c r="E186" s="51"/>
      <c r="F186" s="27">
        <f>SUM(F180:F185)</f>
        <v>590</v>
      </c>
      <c r="G186" s="62">
        <f>SUM(G180:G185)</f>
        <v>21.5</v>
      </c>
      <c r="H186" s="62">
        <f>SUM(H180:H185)</f>
        <v>24.95</v>
      </c>
      <c r="I186" s="62">
        <f>SUM(I180:I185)</f>
        <v>82.2</v>
      </c>
      <c r="J186" s="62">
        <f>SUM(J180:J185)</f>
        <v>636.95000000000005</v>
      </c>
      <c r="K186" s="37"/>
      <c r="L186" s="45">
        <f>SUM(L180:L185)</f>
        <v>0</v>
      </c>
    </row>
    <row r="187" spans="1:12" ht="23.25" customHeight="1" x14ac:dyDescent="0.25">
      <c r="A187" s="5">
        <v>2</v>
      </c>
      <c r="B187" s="5">
        <v>4</v>
      </c>
      <c r="C187" s="5" t="s">
        <v>30</v>
      </c>
      <c r="D187" s="15" t="s">
        <v>31</v>
      </c>
      <c r="E187" s="16" t="s">
        <v>166</v>
      </c>
      <c r="F187" s="65">
        <v>60</v>
      </c>
      <c r="G187" s="60">
        <f>F187*1.2/100</f>
        <v>0.72</v>
      </c>
      <c r="H187" s="60">
        <f>F187*10/100</f>
        <v>6</v>
      </c>
      <c r="I187" s="60">
        <f>F187*3.8/100</f>
        <v>2.2799999999999998</v>
      </c>
      <c r="J187" s="86">
        <f>F187*114/100</f>
        <v>68.400000000000006</v>
      </c>
      <c r="K187" s="36" t="s">
        <v>175</v>
      </c>
      <c r="L187" s="44"/>
    </row>
    <row r="188" spans="1:12" ht="18" customHeight="1" x14ac:dyDescent="0.25">
      <c r="A188" s="8" t="s">
        <v>26</v>
      </c>
      <c r="B188" s="8" t="s">
        <v>26</v>
      </c>
      <c r="C188" s="8" t="s">
        <v>26</v>
      </c>
      <c r="D188" s="15" t="s">
        <v>32</v>
      </c>
      <c r="E188" s="16" t="s">
        <v>167</v>
      </c>
      <c r="F188" s="65">
        <v>250</v>
      </c>
      <c r="G188" s="60">
        <f>F188*2.3/250+1.6+3</f>
        <v>6.9</v>
      </c>
      <c r="H188" s="60">
        <f>F188*5.9/250+1.7</f>
        <v>7.6000000000000005</v>
      </c>
      <c r="I188" s="60">
        <f>F188*13.2/250+3</f>
        <v>16.2</v>
      </c>
      <c r="J188" s="86">
        <v>160.80000000000001</v>
      </c>
      <c r="K188" s="36" t="s">
        <v>56</v>
      </c>
      <c r="L188" s="44"/>
    </row>
    <row r="189" spans="1:12" ht="18" customHeight="1" x14ac:dyDescent="0.25">
      <c r="A189" s="8" t="s">
        <v>26</v>
      </c>
      <c r="B189" s="8" t="s">
        <v>26</v>
      </c>
      <c r="C189" s="8" t="s">
        <v>26</v>
      </c>
      <c r="D189" s="15" t="s">
        <v>33</v>
      </c>
      <c r="E189" s="19" t="s">
        <v>169</v>
      </c>
      <c r="F189" s="65">
        <v>220</v>
      </c>
      <c r="G189" s="60">
        <f>F189*16.7/200</f>
        <v>18.37</v>
      </c>
      <c r="H189" s="60">
        <f>F189*15.7/200</f>
        <v>17.27</v>
      </c>
      <c r="I189" s="60">
        <f>F189*20.8/200</f>
        <v>22.88</v>
      </c>
      <c r="J189" s="86">
        <f>F189*291/200</f>
        <v>320.10000000000002</v>
      </c>
      <c r="K189" s="36" t="s">
        <v>176</v>
      </c>
      <c r="L189" s="44"/>
    </row>
    <row r="190" spans="1:12" ht="18" customHeight="1" x14ac:dyDescent="0.25">
      <c r="A190" s="8" t="s">
        <v>26</v>
      </c>
      <c r="B190" s="8" t="s">
        <v>26</v>
      </c>
      <c r="C190" s="8" t="s">
        <v>26</v>
      </c>
      <c r="D190" s="15" t="s">
        <v>35</v>
      </c>
      <c r="E190" s="19" t="s">
        <v>168</v>
      </c>
      <c r="F190" s="65">
        <v>200</v>
      </c>
      <c r="G190" s="88">
        <v>0.2</v>
      </c>
      <c r="H190" s="88">
        <v>0.2</v>
      </c>
      <c r="I190" s="88">
        <v>16.8</v>
      </c>
      <c r="J190" s="89">
        <v>70</v>
      </c>
      <c r="K190" s="36" t="s">
        <v>177</v>
      </c>
      <c r="L190" s="44"/>
    </row>
    <row r="191" spans="1:12" ht="18" customHeight="1" x14ac:dyDescent="0.25">
      <c r="A191" s="8" t="s">
        <v>26</v>
      </c>
      <c r="B191" s="8" t="s">
        <v>26</v>
      </c>
      <c r="C191" s="8" t="s">
        <v>26</v>
      </c>
      <c r="D191" s="15" t="s">
        <v>36</v>
      </c>
      <c r="E191" s="19" t="s">
        <v>52</v>
      </c>
      <c r="F191" s="65">
        <v>51</v>
      </c>
      <c r="G191" s="109">
        <f>F191*2.37/30</f>
        <v>4.0289999999999999</v>
      </c>
      <c r="H191" s="109">
        <f>F191*0.3/30</f>
        <v>0.51</v>
      </c>
      <c r="I191" s="109">
        <f>F191*14.49/30</f>
        <v>24.632999999999999</v>
      </c>
      <c r="J191" s="109">
        <f>F191*70.14/30</f>
        <v>119.238</v>
      </c>
      <c r="K191" s="36" t="s">
        <v>46</v>
      </c>
      <c r="L191" s="44"/>
    </row>
    <row r="192" spans="1:12" ht="18" customHeight="1" x14ac:dyDescent="0.25">
      <c r="A192" s="8" t="s">
        <v>26</v>
      </c>
      <c r="B192" s="8" t="s">
        <v>26</v>
      </c>
      <c r="C192" s="8" t="s">
        <v>26</v>
      </c>
      <c r="D192" s="15" t="s">
        <v>37</v>
      </c>
      <c r="E192" s="19" t="s">
        <v>45</v>
      </c>
      <c r="F192" s="65">
        <v>50</v>
      </c>
      <c r="G192" s="110">
        <f>F192*1.68/30</f>
        <v>2.8</v>
      </c>
      <c r="H192" s="110">
        <f>F192*0.33/30</f>
        <v>0.55000000000000004</v>
      </c>
      <c r="I192" s="110">
        <f>F192*14.82/30</f>
        <v>24.7</v>
      </c>
      <c r="J192" s="110">
        <f>F192*68.97/30</f>
        <v>114.95</v>
      </c>
      <c r="K192" s="36" t="s">
        <v>46</v>
      </c>
      <c r="L192" s="44"/>
    </row>
    <row r="193" spans="1:12" ht="18" customHeight="1" x14ac:dyDescent="0.25">
      <c r="A193" s="8" t="s">
        <v>26</v>
      </c>
      <c r="B193" s="8" t="s">
        <v>26</v>
      </c>
      <c r="C193" s="8" t="s">
        <v>26</v>
      </c>
      <c r="D193" s="10"/>
      <c r="E193" s="50"/>
      <c r="F193" s="25"/>
      <c r="G193" s="61"/>
      <c r="H193" s="61"/>
      <c r="I193" s="61"/>
      <c r="J193" s="61"/>
      <c r="K193" s="36"/>
      <c r="L193" s="44"/>
    </row>
    <row r="194" spans="1:12" ht="18" customHeight="1" x14ac:dyDescent="0.25">
      <c r="A194" s="8" t="s">
        <v>26</v>
      </c>
      <c r="B194" s="8" t="s">
        <v>26</v>
      </c>
      <c r="C194" s="8" t="s">
        <v>26</v>
      </c>
      <c r="D194" s="10"/>
      <c r="E194" s="50"/>
      <c r="F194" s="25"/>
      <c r="G194" s="61"/>
      <c r="H194" s="61"/>
      <c r="I194" s="61"/>
      <c r="J194" s="61"/>
      <c r="K194" s="36"/>
      <c r="L194" s="44"/>
    </row>
    <row r="195" spans="1:12" ht="18" customHeight="1" x14ac:dyDescent="0.25">
      <c r="A195" s="11"/>
      <c r="B195" s="11"/>
      <c r="C195" s="11" t="s">
        <v>29</v>
      </c>
      <c r="D195" s="12"/>
      <c r="E195" s="51"/>
      <c r="F195" s="27">
        <f>SUM(F187:F194)</f>
        <v>831</v>
      </c>
      <c r="G195" s="62">
        <f>SUM(G187:G194)</f>
        <v>33.018999999999998</v>
      </c>
      <c r="H195" s="62">
        <f>SUM(H187:H194)</f>
        <v>32.130000000000003</v>
      </c>
      <c r="I195" s="62">
        <f>SUM(I187:I194)</f>
        <v>107.49299999999999</v>
      </c>
      <c r="J195" s="62">
        <f>SUM(J187:J194)</f>
        <v>853.48800000000006</v>
      </c>
      <c r="K195" s="37"/>
      <c r="L195" s="45">
        <f>SUM(L187:L194)</f>
        <v>0</v>
      </c>
    </row>
    <row r="196" spans="1:12" ht="18" customHeight="1" x14ac:dyDescent="0.25">
      <c r="A196" s="5">
        <v>2</v>
      </c>
      <c r="B196" s="5">
        <v>4</v>
      </c>
      <c r="C196" s="5" t="s">
        <v>38</v>
      </c>
      <c r="D196" s="112" t="s">
        <v>39</v>
      </c>
      <c r="E196" s="102" t="s">
        <v>190</v>
      </c>
      <c r="F196" s="1">
        <v>100</v>
      </c>
      <c r="G196" s="1">
        <f>F196*7.6/80</f>
        <v>9.5</v>
      </c>
      <c r="H196" s="1">
        <f>F196*13.1/80</f>
        <v>16.375</v>
      </c>
      <c r="I196" s="1">
        <f>F196*58.4/80</f>
        <v>73</v>
      </c>
      <c r="J196" s="115">
        <f>F196*388/80</f>
        <v>485</v>
      </c>
      <c r="K196" s="111" t="s">
        <v>72</v>
      </c>
      <c r="L196" s="44"/>
    </row>
    <row r="197" spans="1:12" ht="18" customHeight="1" x14ac:dyDescent="0.25">
      <c r="A197" s="8" t="s">
        <v>26</v>
      </c>
      <c r="B197" s="8" t="s">
        <v>26</v>
      </c>
      <c r="C197" s="8" t="s">
        <v>26</v>
      </c>
      <c r="D197" s="112" t="s">
        <v>35</v>
      </c>
      <c r="E197" s="113" t="s">
        <v>43</v>
      </c>
      <c r="F197" s="114">
        <v>200</v>
      </c>
      <c r="G197" s="114">
        <v>3.1</v>
      </c>
      <c r="H197" s="114">
        <v>3.2</v>
      </c>
      <c r="I197" s="115">
        <v>14.4</v>
      </c>
      <c r="J197" s="116">
        <v>99</v>
      </c>
      <c r="K197" s="111" t="s">
        <v>82</v>
      </c>
      <c r="L197" s="44"/>
    </row>
    <row r="198" spans="1:12" ht="18" customHeight="1" x14ac:dyDescent="0.25">
      <c r="A198" s="11"/>
      <c r="B198" s="11"/>
      <c r="C198" s="11" t="s">
        <v>29</v>
      </c>
      <c r="D198" s="12"/>
      <c r="E198" s="51"/>
      <c r="F198" s="27">
        <f>SUM(F196:F197)</f>
        <v>300</v>
      </c>
      <c r="G198" s="62">
        <f>SUM(G196:G197)</f>
        <v>12.6</v>
      </c>
      <c r="H198" s="62">
        <f>SUM(H196:H197)</f>
        <v>19.574999999999999</v>
      </c>
      <c r="I198" s="62">
        <f>SUM(I196:I197)</f>
        <v>87.4</v>
      </c>
      <c r="J198" s="62">
        <f>SUM(J196:J197)</f>
        <v>584</v>
      </c>
      <c r="K198" s="37"/>
      <c r="L198" s="45">
        <f>SUM(L196:L197)</f>
        <v>0</v>
      </c>
    </row>
    <row r="199" spans="1:12" ht="18" customHeight="1" x14ac:dyDescent="0.25">
      <c r="A199" s="13"/>
      <c r="B199" s="13"/>
      <c r="C199" s="13" t="s">
        <v>40</v>
      </c>
      <c r="D199" s="14"/>
      <c r="E199" s="52"/>
      <c r="F199" s="28">
        <f>F186+F195+F198</f>
        <v>1721</v>
      </c>
      <c r="G199" s="64">
        <f>G186+G195+G198</f>
        <v>67.119</v>
      </c>
      <c r="H199" s="64">
        <f>H186+H195+H198</f>
        <v>76.655000000000001</v>
      </c>
      <c r="I199" s="64">
        <f>I186+I195+I198</f>
        <v>277.09299999999996</v>
      </c>
      <c r="J199" s="64">
        <f>J186+J195+J198</f>
        <v>2074.4380000000001</v>
      </c>
      <c r="K199" s="38"/>
      <c r="L199" s="46">
        <f>L186+L195+L198</f>
        <v>0</v>
      </c>
    </row>
    <row r="200" spans="1:12" ht="18" customHeight="1" x14ac:dyDescent="0.25">
      <c r="A200" s="5">
        <v>2</v>
      </c>
      <c r="B200" s="5">
        <v>5</v>
      </c>
      <c r="C200" s="5" t="s">
        <v>24</v>
      </c>
      <c r="D200" s="15" t="s">
        <v>25</v>
      </c>
      <c r="E200" s="19" t="s">
        <v>170</v>
      </c>
      <c r="F200" s="65">
        <v>250</v>
      </c>
      <c r="G200" s="60">
        <f>F200*7.5/200</f>
        <v>9.375</v>
      </c>
      <c r="H200" s="60">
        <f>F200*11.4/200</f>
        <v>14.25</v>
      </c>
      <c r="I200" s="60">
        <f>F200*31.3/200</f>
        <v>39.125</v>
      </c>
      <c r="J200" s="118">
        <f>257.8*F200/200</f>
        <v>322.25</v>
      </c>
      <c r="K200" s="36" t="s">
        <v>90</v>
      </c>
      <c r="L200" s="44"/>
    </row>
    <row r="201" spans="1:12" ht="18" customHeight="1" x14ac:dyDescent="0.25">
      <c r="A201" s="8" t="s">
        <v>26</v>
      </c>
      <c r="B201" s="8" t="s">
        <v>26</v>
      </c>
      <c r="C201" s="8" t="s">
        <v>26</v>
      </c>
      <c r="D201" s="18" t="s">
        <v>36</v>
      </c>
      <c r="E201" s="19" t="s">
        <v>44</v>
      </c>
      <c r="F201" s="65">
        <v>70</v>
      </c>
      <c r="G201" s="60">
        <f>F201*7.3/60</f>
        <v>8.5166666666666675</v>
      </c>
      <c r="H201" s="60">
        <f>F201*4.4/60</f>
        <v>5.1333333333333337</v>
      </c>
      <c r="I201" s="60">
        <f>F201*21/60</f>
        <v>24.5</v>
      </c>
      <c r="J201" s="118">
        <f>153.24*F201/60</f>
        <v>178.78000000000003</v>
      </c>
      <c r="K201" s="36" t="s">
        <v>156</v>
      </c>
      <c r="L201" s="44"/>
    </row>
    <row r="202" spans="1:12" ht="18" customHeight="1" x14ac:dyDescent="0.25">
      <c r="A202" s="8" t="s">
        <v>26</v>
      </c>
      <c r="B202" s="8" t="s">
        <v>26</v>
      </c>
      <c r="C202" s="8" t="s">
        <v>26</v>
      </c>
      <c r="D202" s="15" t="s">
        <v>27</v>
      </c>
      <c r="E202" s="19" t="s">
        <v>85</v>
      </c>
      <c r="F202" s="65">
        <v>200</v>
      </c>
      <c r="G202" s="60">
        <v>3.6</v>
      </c>
      <c r="H202" s="60">
        <v>3.3</v>
      </c>
      <c r="I202" s="60">
        <v>22.8</v>
      </c>
      <c r="J202" s="60">
        <v>135</v>
      </c>
      <c r="K202" s="36" t="s">
        <v>178</v>
      </c>
      <c r="L202" s="44"/>
    </row>
    <row r="203" spans="1:12" ht="18" customHeight="1" x14ac:dyDescent="0.25">
      <c r="A203" s="8" t="s">
        <v>26</v>
      </c>
      <c r="B203" s="8" t="s">
        <v>26</v>
      </c>
      <c r="C203" s="8" t="s">
        <v>26</v>
      </c>
      <c r="D203" s="15" t="s">
        <v>37</v>
      </c>
      <c r="E203" s="19" t="s">
        <v>45</v>
      </c>
      <c r="F203" s="65">
        <v>40</v>
      </c>
      <c r="G203" s="60">
        <v>2.52</v>
      </c>
      <c r="H203" s="60">
        <v>0.5</v>
      </c>
      <c r="I203" s="60">
        <v>22.23</v>
      </c>
      <c r="J203" s="60">
        <v>103.46</v>
      </c>
      <c r="K203" s="36" t="s">
        <v>46</v>
      </c>
      <c r="L203" s="44"/>
    </row>
    <row r="204" spans="1:12" ht="18" customHeight="1" x14ac:dyDescent="0.25">
      <c r="A204" s="8" t="s">
        <v>26</v>
      </c>
      <c r="B204" s="8" t="s">
        <v>26</v>
      </c>
      <c r="C204" s="8" t="s">
        <v>26</v>
      </c>
      <c r="D204" s="10"/>
      <c r="E204" s="50"/>
      <c r="F204" s="117"/>
      <c r="G204" s="117"/>
      <c r="H204" s="117"/>
      <c r="I204" s="117"/>
      <c r="J204" s="117"/>
      <c r="K204" s="36"/>
      <c r="L204" s="44"/>
    </row>
    <row r="205" spans="1:12" ht="18" customHeight="1" x14ac:dyDescent="0.25">
      <c r="A205" s="8" t="s">
        <v>26</v>
      </c>
      <c r="B205" s="8" t="s">
        <v>26</v>
      </c>
      <c r="C205" s="8" t="s">
        <v>26</v>
      </c>
      <c r="D205" s="10"/>
      <c r="E205" s="50"/>
      <c r="F205" s="25"/>
      <c r="G205" s="61"/>
      <c r="H205" s="61"/>
      <c r="I205" s="61"/>
      <c r="J205" s="61"/>
      <c r="K205" s="36"/>
      <c r="L205" s="44"/>
    </row>
    <row r="206" spans="1:12" ht="18" customHeight="1" x14ac:dyDescent="0.25">
      <c r="A206" s="11"/>
      <c r="B206" s="11"/>
      <c r="C206" s="11" t="s">
        <v>29</v>
      </c>
      <c r="D206" s="12"/>
      <c r="E206" s="51"/>
      <c r="F206" s="98">
        <f>SUM(F200:F205)</f>
        <v>560</v>
      </c>
      <c r="G206" s="99">
        <f>SUM(G200:G205)</f>
        <v>24.011666666666667</v>
      </c>
      <c r="H206" s="99">
        <f>SUM(H200:H205)</f>
        <v>23.183333333333334</v>
      </c>
      <c r="I206" s="99">
        <f>SUM(I200:I205)</f>
        <v>108.655</v>
      </c>
      <c r="J206" s="99">
        <f>SUM(J200:J205)</f>
        <v>739.49</v>
      </c>
      <c r="K206" s="37"/>
      <c r="L206" s="45">
        <f>SUM(L200:L205)</f>
        <v>0</v>
      </c>
    </row>
    <row r="207" spans="1:12" ht="18" customHeight="1" x14ac:dyDescent="0.25">
      <c r="A207" s="5">
        <v>2</v>
      </c>
      <c r="B207" s="5">
        <v>5</v>
      </c>
      <c r="C207" s="5" t="s">
        <v>30</v>
      </c>
      <c r="D207" s="15" t="s">
        <v>31</v>
      </c>
      <c r="E207" s="82" t="s">
        <v>171</v>
      </c>
      <c r="F207" s="119">
        <v>60</v>
      </c>
      <c r="G207" s="109">
        <f>F207*1.3/100</f>
        <v>0.78</v>
      </c>
      <c r="H207" s="109">
        <f>F207*8.9/100</f>
        <v>5.34</v>
      </c>
      <c r="I207" s="109">
        <f>F207*6.7/100</f>
        <v>4.0199999999999996</v>
      </c>
      <c r="J207" s="109">
        <f>F207*112/100</f>
        <v>67.2</v>
      </c>
      <c r="K207" s="36" t="s">
        <v>179</v>
      </c>
      <c r="L207" s="44"/>
    </row>
    <row r="208" spans="1:12" ht="18" customHeight="1" x14ac:dyDescent="0.25">
      <c r="A208" s="8" t="s">
        <v>26</v>
      </c>
      <c r="B208" s="8" t="s">
        <v>26</v>
      </c>
      <c r="C208" s="8" t="s">
        <v>26</v>
      </c>
      <c r="D208" s="15" t="s">
        <v>32</v>
      </c>
      <c r="E208" s="16" t="s">
        <v>172</v>
      </c>
      <c r="F208" s="65">
        <v>250</v>
      </c>
      <c r="G208" s="60">
        <f>F208*2.4/250</f>
        <v>2.4</v>
      </c>
      <c r="H208" s="60">
        <f>F208*3.8/250</f>
        <v>3.8</v>
      </c>
      <c r="I208" s="60">
        <f>F208*14.6/250</f>
        <v>14.6</v>
      </c>
      <c r="J208" s="60">
        <f>F208*106/250</f>
        <v>106</v>
      </c>
      <c r="K208" s="36" t="s">
        <v>180</v>
      </c>
      <c r="L208" s="44"/>
    </row>
    <row r="209" spans="1:12" ht="18" customHeight="1" x14ac:dyDescent="0.25">
      <c r="A209" s="8" t="s">
        <v>26</v>
      </c>
      <c r="B209" s="8" t="s">
        <v>26</v>
      </c>
      <c r="C209" s="8" t="s">
        <v>26</v>
      </c>
      <c r="D209" s="15" t="s">
        <v>33</v>
      </c>
      <c r="E209" s="19" t="s">
        <v>105</v>
      </c>
      <c r="F209" s="87">
        <v>100</v>
      </c>
      <c r="G209" s="60">
        <f>19.1*F209/100</f>
        <v>19.100000000000001</v>
      </c>
      <c r="H209" s="60">
        <f>15.9*F209/100</f>
        <v>15.9</v>
      </c>
      <c r="I209" s="60">
        <f>0.2*F209/100</f>
        <v>0.2</v>
      </c>
      <c r="J209" s="60">
        <f>F209*198/90</f>
        <v>220</v>
      </c>
      <c r="K209" s="36" t="s">
        <v>117</v>
      </c>
      <c r="L209" s="44"/>
    </row>
    <row r="210" spans="1:12" ht="18" customHeight="1" x14ac:dyDescent="0.25">
      <c r="A210" s="8" t="s">
        <v>26</v>
      </c>
      <c r="B210" s="8" t="s">
        <v>26</v>
      </c>
      <c r="C210" s="8" t="s">
        <v>26</v>
      </c>
      <c r="D210" s="15" t="s">
        <v>34</v>
      </c>
      <c r="E210" s="19" t="s">
        <v>50</v>
      </c>
      <c r="F210" s="65">
        <v>150</v>
      </c>
      <c r="G210" s="60">
        <f>F210*5/200</f>
        <v>3.75</v>
      </c>
      <c r="H210" s="60">
        <f>F210*9.5/200</f>
        <v>7.125</v>
      </c>
      <c r="I210" s="60">
        <f>F210*50.3/200</f>
        <v>37.725000000000001</v>
      </c>
      <c r="J210" s="60">
        <f>F210*306.7/200</f>
        <v>230.02500000000001</v>
      </c>
      <c r="K210" s="36" t="s">
        <v>55</v>
      </c>
      <c r="L210" s="44"/>
    </row>
    <row r="211" spans="1:12" ht="18" customHeight="1" x14ac:dyDescent="0.25">
      <c r="A211" s="8" t="s">
        <v>26</v>
      </c>
      <c r="B211" s="8" t="s">
        <v>26</v>
      </c>
      <c r="C211" s="8" t="s">
        <v>26</v>
      </c>
      <c r="D211" s="15" t="s">
        <v>35</v>
      </c>
      <c r="E211" s="16" t="s">
        <v>173</v>
      </c>
      <c r="F211" s="65">
        <v>200</v>
      </c>
      <c r="G211" s="60">
        <v>1.2</v>
      </c>
      <c r="H211" s="60">
        <v>0</v>
      </c>
      <c r="I211" s="60">
        <v>27.4</v>
      </c>
      <c r="J211" s="60">
        <v>114</v>
      </c>
      <c r="K211" s="36" t="s">
        <v>181</v>
      </c>
      <c r="L211" s="44"/>
    </row>
    <row r="212" spans="1:12" ht="18" customHeight="1" x14ac:dyDescent="0.25">
      <c r="A212" s="8" t="s">
        <v>26</v>
      </c>
      <c r="B212" s="8" t="s">
        <v>26</v>
      </c>
      <c r="C212" s="8" t="s">
        <v>26</v>
      </c>
      <c r="D212" s="15" t="s">
        <v>36</v>
      </c>
      <c r="E212" s="19" t="s">
        <v>52</v>
      </c>
      <c r="F212" s="65">
        <v>50</v>
      </c>
      <c r="G212" s="60">
        <f>SUM(F212*2.37/30)</f>
        <v>3.95</v>
      </c>
      <c r="H212" s="60">
        <f>SUM(F212*0.3/30)</f>
        <v>0.5</v>
      </c>
      <c r="I212" s="60">
        <f>SUM(F212*14.49/30)</f>
        <v>24.15</v>
      </c>
      <c r="J212" s="60">
        <f>SUM(F212*70.14/30)</f>
        <v>116.9</v>
      </c>
      <c r="K212" s="36" t="s">
        <v>46</v>
      </c>
      <c r="L212" s="44"/>
    </row>
    <row r="213" spans="1:12" ht="18" customHeight="1" x14ac:dyDescent="0.25">
      <c r="A213" s="8" t="s">
        <v>26</v>
      </c>
      <c r="B213" s="8" t="s">
        <v>26</v>
      </c>
      <c r="C213" s="8" t="s">
        <v>26</v>
      </c>
      <c r="D213" s="15" t="s">
        <v>37</v>
      </c>
      <c r="E213" s="19" t="s">
        <v>45</v>
      </c>
      <c r="F213" s="65">
        <v>50</v>
      </c>
      <c r="G213" s="60">
        <f>SUM(F213*1.68/30)</f>
        <v>2.8</v>
      </c>
      <c r="H213" s="60">
        <f>SUM(F213*0.33/30)</f>
        <v>0.55000000000000004</v>
      </c>
      <c r="I213" s="60">
        <f>SUM(F213*14.82/30)</f>
        <v>24.7</v>
      </c>
      <c r="J213" s="60">
        <f>SUM(F213*68.97/30)</f>
        <v>114.95</v>
      </c>
      <c r="K213" s="36" t="s">
        <v>46</v>
      </c>
      <c r="L213" s="44"/>
    </row>
    <row r="214" spans="1:12" ht="18" customHeight="1" x14ac:dyDescent="0.25">
      <c r="A214" s="8" t="s">
        <v>26</v>
      </c>
      <c r="B214" s="8" t="s">
        <v>26</v>
      </c>
      <c r="C214" s="8" t="s">
        <v>26</v>
      </c>
      <c r="D214" s="10"/>
      <c r="E214" s="50"/>
      <c r="F214" s="120"/>
      <c r="G214" s="120"/>
      <c r="H214" s="120"/>
      <c r="I214" s="120"/>
      <c r="J214" s="120"/>
      <c r="K214" s="36"/>
      <c r="L214" s="44"/>
    </row>
    <row r="215" spans="1:12" ht="18" customHeight="1" x14ac:dyDescent="0.25">
      <c r="A215" s="8" t="s">
        <v>26</v>
      </c>
      <c r="B215" s="8" t="s">
        <v>26</v>
      </c>
      <c r="C215" s="8" t="s">
        <v>26</v>
      </c>
      <c r="D215" s="10"/>
      <c r="E215" s="50"/>
      <c r="F215" s="25"/>
      <c r="G215" s="61"/>
      <c r="H215" s="61"/>
      <c r="I215" s="61"/>
      <c r="J215" s="61"/>
      <c r="K215" s="36"/>
      <c r="L215" s="44"/>
    </row>
    <row r="216" spans="1:12" ht="18" customHeight="1" x14ac:dyDescent="0.25">
      <c r="A216" s="11"/>
      <c r="B216" s="11"/>
      <c r="C216" s="11" t="s">
        <v>29</v>
      </c>
      <c r="D216" s="12"/>
      <c r="E216" s="51"/>
      <c r="F216" s="27">
        <f>SUM(F207:F215)</f>
        <v>860</v>
      </c>
      <c r="G216" s="62">
        <f>SUM(G207:G215)</f>
        <v>33.979999999999997</v>
      </c>
      <c r="H216" s="62">
        <f>SUM(H207:H215)</f>
        <v>33.214999999999996</v>
      </c>
      <c r="I216" s="62">
        <f>SUM(I207:I215)</f>
        <v>132.79499999999999</v>
      </c>
      <c r="J216" s="62">
        <f>SUM(J207:J215)</f>
        <v>969.07500000000005</v>
      </c>
      <c r="K216" s="37"/>
      <c r="L216" s="45">
        <f>SUM(L207:L215)</f>
        <v>0</v>
      </c>
    </row>
    <row r="217" spans="1:12" ht="18" customHeight="1" x14ac:dyDescent="0.25">
      <c r="A217" s="5">
        <v>2</v>
      </c>
      <c r="B217" s="5">
        <v>5</v>
      </c>
      <c r="C217" s="5" t="s">
        <v>38</v>
      </c>
      <c r="D217" s="15" t="s">
        <v>39</v>
      </c>
      <c r="E217" s="83" t="s">
        <v>174</v>
      </c>
      <c r="F217" s="84">
        <v>100</v>
      </c>
      <c r="G217" s="85">
        <f>F217*12.1/100</f>
        <v>12.1</v>
      </c>
      <c r="H217" s="85">
        <f>F217*22.8/100</f>
        <v>22.8</v>
      </c>
      <c r="I217" s="85">
        <f>F217*35/100</f>
        <v>35</v>
      </c>
      <c r="J217" s="85">
        <f>F217*397/100</f>
        <v>397</v>
      </c>
      <c r="K217" s="36" t="s">
        <v>163</v>
      </c>
      <c r="L217" s="44"/>
    </row>
    <row r="218" spans="1:12" ht="18" customHeight="1" x14ac:dyDescent="0.25">
      <c r="A218" s="8" t="s">
        <v>26</v>
      </c>
      <c r="B218" s="8" t="s">
        <v>26</v>
      </c>
      <c r="C218" s="8" t="s">
        <v>26</v>
      </c>
      <c r="D218" s="15" t="s">
        <v>35</v>
      </c>
      <c r="E218" s="19" t="s">
        <v>191</v>
      </c>
      <c r="F218" s="17">
        <v>200</v>
      </c>
      <c r="G218" s="65">
        <v>0.2</v>
      </c>
      <c r="H218" s="65">
        <v>0</v>
      </c>
      <c r="I218" s="65">
        <v>13.7</v>
      </c>
      <c r="J218" s="65">
        <v>56</v>
      </c>
      <c r="K218" s="36" t="s">
        <v>192</v>
      </c>
      <c r="L218" s="44"/>
    </row>
    <row r="219" spans="1:12" ht="18" customHeight="1" x14ac:dyDescent="0.25">
      <c r="A219" s="8"/>
      <c r="B219" s="8"/>
      <c r="C219" s="8"/>
      <c r="D219" s="15" t="s">
        <v>28</v>
      </c>
      <c r="E219" s="19" t="s">
        <v>60</v>
      </c>
      <c r="F219" s="17">
        <v>100</v>
      </c>
      <c r="G219" s="65">
        <f>F219*0.4/100</f>
        <v>0.4</v>
      </c>
      <c r="H219" s="65">
        <f>F219*0.4/100</f>
        <v>0.4</v>
      </c>
      <c r="I219" s="65">
        <f>F219*9.8/100</f>
        <v>9.8000000000000007</v>
      </c>
      <c r="J219" s="65">
        <f>F219*47/100</f>
        <v>47</v>
      </c>
      <c r="K219" s="36" t="s">
        <v>46</v>
      </c>
      <c r="L219" s="44"/>
    </row>
    <row r="220" spans="1:12" ht="18" customHeight="1" x14ac:dyDescent="0.25">
      <c r="A220" s="11"/>
      <c r="B220" s="11"/>
      <c r="C220" s="11" t="s">
        <v>29</v>
      </c>
      <c r="D220" s="12"/>
      <c r="E220" s="51"/>
      <c r="F220" s="27">
        <f>SUM(F217:F219)</f>
        <v>400</v>
      </c>
      <c r="G220" s="62">
        <f t="shared" ref="G220:J220" si="6">SUM(G217:G219)</f>
        <v>12.7</v>
      </c>
      <c r="H220" s="62">
        <f t="shared" si="6"/>
        <v>23.2</v>
      </c>
      <c r="I220" s="62">
        <f t="shared" si="6"/>
        <v>58.5</v>
      </c>
      <c r="J220" s="62">
        <f t="shared" si="6"/>
        <v>500</v>
      </c>
      <c r="K220" s="37"/>
      <c r="L220" s="45">
        <f>SUM(L217:L218)</f>
        <v>0</v>
      </c>
    </row>
    <row r="221" spans="1:12" ht="18" customHeight="1" x14ac:dyDescent="0.25">
      <c r="A221" s="13"/>
      <c r="B221" s="13"/>
      <c r="C221" s="13" t="s">
        <v>40</v>
      </c>
      <c r="D221" s="14"/>
      <c r="E221" s="52"/>
      <c r="F221" s="28">
        <f>F206+F216+F220</f>
        <v>1820</v>
      </c>
      <c r="G221" s="64">
        <f>G206+G216+G220</f>
        <v>70.691666666666663</v>
      </c>
      <c r="H221" s="64">
        <f>H206+H216+H220-0.01</f>
        <v>79.588333333333324</v>
      </c>
      <c r="I221" s="64">
        <f>I206+I216+I220</f>
        <v>299.95</v>
      </c>
      <c r="J221" s="64">
        <f>J206+J216+J220-0.01</f>
        <v>2208.5549999999998</v>
      </c>
      <c r="K221" s="38"/>
      <c r="L221" s="46">
        <f>L206+L216+L220</f>
        <v>0</v>
      </c>
    </row>
    <row r="222" spans="1:12" ht="18" customHeight="1" x14ac:dyDescent="0.25">
      <c r="A222" s="5">
        <v>3</v>
      </c>
      <c r="B222" s="5">
        <v>1</v>
      </c>
      <c r="C222" s="5" t="s">
        <v>24</v>
      </c>
      <c r="D222" s="6" t="s">
        <v>25</v>
      </c>
      <c r="E222" s="34" t="s">
        <v>98</v>
      </c>
      <c r="F222" s="68">
        <v>250</v>
      </c>
      <c r="G222" s="69">
        <f>F222*5.4/200</f>
        <v>6.75</v>
      </c>
      <c r="H222" s="69">
        <f>F222*10.1/200</f>
        <v>12.625</v>
      </c>
      <c r="I222" s="69">
        <f>F222*25.66/200</f>
        <v>32.075000000000003</v>
      </c>
      <c r="J222" s="69">
        <f>F222*215.14/200</f>
        <v>268.92500000000001</v>
      </c>
      <c r="K222" s="36">
        <v>44504</v>
      </c>
      <c r="L222" s="42"/>
    </row>
    <row r="223" spans="1:12" ht="18" customHeight="1" x14ac:dyDescent="0.25">
      <c r="A223" s="8" t="s">
        <v>26</v>
      </c>
      <c r="B223" s="8" t="s">
        <v>26</v>
      </c>
      <c r="C223" s="8" t="s">
        <v>26</v>
      </c>
      <c r="D223" s="9" t="s">
        <v>36</v>
      </c>
      <c r="E223" s="34" t="s">
        <v>44</v>
      </c>
      <c r="F223" s="70">
        <v>60</v>
      </c>
      <c r="G223" s="71">
        <f>7.3*F223/60</f>
        <v>7.3</v>
      </c>
      <c r="H223" s="71">
        <f>4.4*F223/60</f>
        <v>4.4000000000000004</v>
      </c>
      <c r="I223" s="71">
        <f>21*F223/60</f>
        <v>21</v>
      </c>
      <c r="J223" s="71">
        <f>153.24*F223/60</f>
        <v>153.24000000000004</v>
      </c>
      <c r="K223" s="36">
        <v>44240</v>
      </c>
      <c r="L223" s="42"/>
    </row>
    <row r="224" spans="1:12" ht="18" customHeight="1" x14ac:dyDescent="0.25">
      <c r="A224" s="8" t="s">
        <v>26</v>
      </c>
      <c r="B224" s="8" t="s">
        <v>26</v>
      </c>
      <c r="C224" s="8" t="s">
        <v>26</v>
      </c>
      <c r="D224" s="6" t="s">
        <v>27</v>
      </c>
      <c r="E224" s="34" t="s">
        <v>43</v>
      </c>
      <c r="F224" s="32">
        <v>200</v>
      </c>
      <c r="G224" s="59">
        <v>3.1</v>
      </c>
      <c r="H224" s="59">
        <v>3.2</v>
      </c>
      <c r="I224" s="59">
        <v>14.4</v>
      </c>
      <c r="J224" s="59">
        <v>99</v>
      </c>
      <c r="K224" s="36">
        <v>3210</v>
      </c>
      <c r="L224" s="42"/>
    </row>
    <row r="225" spans="1:12" ht="18" customHeight="1" x14ac:dyDescent="0.25">
      <c r="A225" s="8" t="s">
        <v>26</v>
      </c>
      <c r="B225" s="8" t="s">
        <v>26</v>
      </c>
      <c r="C225" s="8" t="s">
        <v>26</v>
      </c>
      <c r="D225" s="6" t="s">
        <v>37</v>
      </c>
      <c r="E225" s="34" t="s">
        <v>45</v>
      </c>
      <c r="F225" s="70">
        <v>50</v>
      </c>
      <c r="G225" s="65">
        <f>SUM(F225*1.68/30)</f>
        <v>2.8</v>
      </c>
      <c r="H225" s="65">
        <f>SUM(F225*0.33/30)</f>
        <v>0.55000000000000004</v>
      </c>
      <c r="I225" s="65">
        <f>SUM(F225*14.82/30)</f>
        <v>24.7</v>
      </c>
      <c r="J225" s="65">
        <f>SUM(F225*68.97/30)</f>
        <v>114.95</v>
      </c>
      <c r="K225" s="36" t="s">
        <v>46</v>
      </c>
      <c r="L225" s="42"/>
    </row>
    <row r="226" spans="1:12" ht="18" customHeight="1" x14ac:dyDescent="0.25">
      <c r="A226" s="8" t="s">
        <v>26</v>
      </c>
      <c r="B226" s="8" t="s">
        <v>26</v>
      </c>
      <c r="C226" s="8" t="s">
        <v>26</v>
      </c>
      <c r="D226" s="6"/>
      <c r="E226" s="50"/>
      <c r="F226" s="25"/>
      <c r="G226" s="61"/>
      <c r="H226" s="61"/>
      <c r="I226" s="61"/>
      <c r="J226" s="61"/>
      <c r="K226" s="36"/>
      <c r="L226" s="42"/>
    </row>
    <row r="227" spans="1:12" ht="18" customHeight="1" x14ac:dyDescent="0.25">
      <c r="A227" s="8" t="s">
        <v>26</v>
      </c>
      <c r="B227" s="8" t="s">
        <v>26</v>
      </c>
      <c r="C227" s="8" t="s">
        <v>26</v>
      </c>
      <c r="D227" s="10"/>
      <c r="E227" s="50"/>
      <c r="F227" s="25"/>
      <c r="G227" s="61"/>
      <c r="H227" s="61"/>
      <c r="I227" s="61"/>
      <c r="J227" s="61"/>
      <c r="K227" s="36"/>
      <c r="L227" s="42"/>
    </row>
    <row r="228" spans="1:12" ht="18" customHeight="1" x14ac:dyDescent="0.25">
      <c r="A228" s="8" t="s">
        <v>26</v>
      </c>
      <c r="B228" s="8" t="s">
        <v>26</v>
      </c>
      <c r="C228" s="8" t="s">
        <v>26</v>
      </c>
      <c r="D228" s="10"/>
      <c r="E228" s="50"/>
      <c r="F228" s="25"/>
      <c r="G228" s="61"/>
      <c r="H228" s="61"/>
      <c r="I228" s="61"/>
      <c r="J228" s="61"/>
      <c r="K228" s="36"/>
      <c r="L228" s="42"/>
    </row>
    <row r="229" spans="1:12" ht="18" customHeight="1" x14ac:dyDescent="0.25">
      <c r="A229" s="11"/>
      <c r="B229" s="11"/>
      <c r="C229" s="11" t="s">
        <v>29</v>
      </c>
      <c r="D229" s="12"/>
      <c r="E229" s="51"/>
      <c r="F229" s="27">
        <f>SUM(F222:F228)</f>
        <v>560</v>
      </c>
      <c r="G229" s="62">
        <f>SUM(G222:G228)</f>
        <v>19.950000000000003</v>
      </c>
      <c r="H229" s="62">
        <f>SUM(H222:H228)</f>
        <v>20.774999999999999</v>
      </c>
      <c r="I229" s="62">
        <f>SUM(I222:I228)</f>
        <v>92.175000000000011</v>
      </c>
      <c r="J229" s="62">
        <f>SUM(J222:J228)</f>
        <v>636.11500000000012</v>
      </c>
      <c r="K229" s="37"/>
      <c r="L229" s="43">
        <f>L222+L223+L224+L225+L226+L227</f>
        <v>0</v>
      </c>
    </row>
    <row r="230" spans="1:12" ht="18" customHeight="1" x14ac:dyDescent="0.25">
      <c r="A230" s="5">
        <v>3</v>
      </c>
      <c r="B230" s="5">
        <v>1</v>
      </c>
      <c r="C230" s="5" t="s">
        <v>30</v>
      </c>
      <c r="D230" s="6" t="s">
        <v>31</v>
      </c>
      <c r="E230" s="50" t="s">
        <v>47</v>
      </c>
      <c r="F230" s="32">
        <v>60</v>
      </c>
      <c r="G230" s="65">
        <f>F230*1.7/100</f>
        <v>1.02</v>
      </c>
      <c r="H230" s="65">
        <f>F230*6/100</f>
        <v>3.6</v>
      </c>
      <c r="I230" s="65">
        <f>F230*7.9/100</f>
        <v>4.74</v>
      </c>
      <c r="J230" s="65">
        <f>F230*92.4/100</f>
        <v>55.44</v>
      </c>
      <c r="K230" s="36">
        <v>44348</v>
      </c>
      <c r="L230" s="44"/>
    </row>
    <row r="231" spans="1:12" ht="18" customHeight="1" x14ac:dyDescent="0.25">
      <c r="A231" s="8" t="s">
        <v>26</v>
      </c>
      <c r="B231" s="8" t="s">
        <v>26</v>
      </c>
      <c r="C231" s="8" t="s">
        <v>26</v>
      </c>
      <c r="D231" s="6" t="s">
        <v>32</v>
      </c>
      <c r="E231" s="50" t="s">
        <v>48</v>
      </c>
      <c r="F231" s="32">
        <v>200</v>
      </c>
      <c r="G231" s="72">
        <f>F231*5.5/250+1.6+2</f>
        <v>8</v>
      </c>
      <c r="H231" s="72">
        <f>F231*5.6/250+1.7+2</f>
        <v>8.18</v>
      </c>
      <c r="I231" s="72">
        <f>F231*20.8/250+2</f>
        <v>18.64</v>
      </c>
      <c r="J231" s="72">
        <f>F231*156/250+22+33.5</f>
        <v>180.3</v>
      </c>
      <c r="K231" s="36" t="s">
        <v>54</v>
      </c>
      <c r="L231" s="44"/>
    </row>
    <row r="232" spans="1:12" ht="18" customHeight="1" x14ac:dyDescent="0.25">
      <c r="A232" s="8" t="s">
        <v>26</v>
      </c>
      <c r="B232" s="8" t="s">
        <v>26</v>
      </c>
      <c r="C232" s="8" t="s">
        <v>26</v>
      </c>
      <c r="D232" s="6" t="s">
        <v>33</v>
      </c>
      <c r="E232" s="50" t="s">
        <v>49</v>
      </c>
      <c r="F232" s="32">
        <v>100</v>
      </c>
      <c r="G232" s="65">
        <f>F232*11.7/90</f>
        <v>13</v>
      </c>
      <c r="H232" s="65">
        <f>F232*11.61/90</f>
        <v>12.9</v>
      </c>
      <c r="I232" s="65">
        <f>F232*5.76/90</f>
        <v>6.4</v>
      </c>
      <c r="J232" s="65">
        <f>F232*175/90</f>
        <v>194.44444444444446</v>
      </c>
      <c r="K232" s="36" t="s">
        <v>53</v>
      </c>
      <c r="L232" s="44"/>
    </row>
    <row r="233" spans="1:12" ht="18" customHeight="1" x14ac:dyDescent="0.25">
      <c r="A233" s="8" t="s">
        <v>26</v>
      </c>
      <c r="B233" s="8" t="s">
        <v>26</v>
      </c>
      <c r="C233" s="8" t="s">
        <v>26</v>
      </c>
      <c r="D233" s="6" t="s">
        <v>34</v>
      </c>
      <c r="E233" s="50" t="s">
        <v>50</v>
      </c>
      <c r="F233" s="32">
        <v>150</v>
      </c>
      <c r="G233" s="65">
        <f>F233*5/200</f>
        <v>3.75</v>
      </c>
      <c r="H233" s="65">
        <f>F233*9.5/200</f>
        <v>7.125</v>
      </c>
      <c r="I233" s="65">
        <f>F233*50.3/200</f>
        <v>37.725000000000001</v>
      </c>
      <c r="J233" s="65">
        <f>F233*306.7/200</f>
        <v>230.02500000000001</v>
      </c>
      <c r="K233" s="36" t="s">
        <v>55</v>
      </c>
      <c r="L233" s="44"/>
    </row>
    <row r="234" spans="1:12" ht="18" customHeight="1" x14ac:dyDescent="0.25">
      <c r="A234" s="8" t="s">
        <v>26</v>
      </c>
      <c r="B234" s="8" t="s">
        <v>26</v>
      </c>
      <c r="C234" s="8" t="s">
        <v>26</v>
      </c>
      <c r="D234" s="6" t="s">
        <v>35</v>
      </c>
      <c r="E234" s="50" t="s">
        <v>51</v>
      </c>
      <c r="F234" s="32">
        <v>200</v>
      </c>
      <c r="G234" s="65">
        <v>0.4</v>
      </c>
      <c r="H234" s="65">
        <v>0.2</v>
      </c>
      <c r="I234" s="65">
        <v>16.100000000000001</v>
      </c>
      <c r="J234" s="65">
        <v>68</v>
      </c>
      <c r="K234" s="36" t="s">
        <v>57</v>
      </c>
      <c r="L234" s="44"/>
    </row>
    <row r="235" spans="1:12" ht="18" customHeight="1" x14ac:dyDescent="0.25">
      <c r="A235" s="8" t="s">
        <v>26</v>
      </c>
      <c r="B235" s="8" t="s">
        <v>26</v>
      </c>
      <c r="C235" s="8" t="s">
        <v>26</v>
      </c>
      <c r="D235" s="6" t="s">
        <v>36</v>
      </c>
      <c r="E235" s="50" t="s">
        <v>52</v>
      </c>
      <c r="F235" s="32">
        <v>50</v>
      </c>
      <c r="G235" s="65">
        <f>SUM(F235*2.37/30)</f>
        <v>3.95</v>
      </c>
      <c r="H235" s="65">
        <f>SUM(F235*0.3/30)</f>
        <v>0.5</v>
      </c>
      <c r="I235" s="65">
        <f>SUM(F235*14.49/30)</f>
        <v>24.15</v>
      </c>
      <c r="J235" s="65">
        <f>SUM(F235*70.14/30)</f>
        <v>116.9</v>
      </c>
      <c r="K235" s="36" t="s">
        <v>46</v>
      </c>
      <c r="L235" s="44"/>
    </row>
    <row r="236" spans="1:12" ht="18" customHeight="1" x14ac:dyDescent="0.25">
      <c r="A236" s="8" t="s">
        <v>26</v>
      </c>
      <c r="B236" s="8" t="s">
        <v>26</v>
      </c>
      <c r="C236" s="8" t="s">
        <v>26</v>
      </c>
      <c r="D236" s="6" t="s">
        <v>37</v>
      </c>
      <c r="E236" s="50" t="s">
        <v>45</v>
      </c>
      <c r="F236" s="32">
        <v>50</v>
      </c>
      <c r="G236" s="65">
        <f>SUM(F236*1.68/30)</f>
        <v>2.8</v>
      </c>
      <c r="H236" s="65">
        <f>SUM(F236*0.33/30)</f>
        <v>0.55000000000000004</v>
      </c>
      <c r="I236" s="65">
        <f>SUM(F236*14.82/30)</f>
        <v>24.7</v>
      </c>
      <c r="J236" s="65">
        <f>SUM(F236*68.97/30)</f>
        <v>114.95</v>
      </c>
      <c r="K236" s="36" t="s">
        <v>46</v>
      </c>
      <c r="L236" s="44"/>
    </row>
    <row r="237" spans="1:12" ht="18" customHeight="1" x14ac:dyDescent="0.25">
      <c r="A237" s="8" t="s">
        <v>26</v>
      </c>
      <c r="B237" s="8" t="s">
        <v>26</v>
      </c>
      <c r="C237" s="8" t="s">
        <v>26</v>
      </c>
      <c r="D237" s="10"/>
      <c r="E237" s="50"/>
      <c r="F237" s="25"/>
      <c r="G237" s="61"/>
      <c r="H237" s="61"/>
      <c r="I237" s="61"/>
      <c r="J237" s="61"/>
      <c r="K237" s="36"/>
      <c r="L237" s="44"/>
    </row>
    <row r="238" spans="1:12" ht="18" customHeight="1" x14ac:dyDescent="0.25">
      <c r="A238" s="11"/>
      <c r="B238" s="11"/>
      <c r="C238" s="11" t="s">
        <v>29</v>
      </c>
      <c r="D238" s="12"/>
      <c r="E238" s="51"/>
      <c r="F238" s="27">
        <f>SUM(F230:F237)</f>
        <v>810</v>
      </c>
      <c r="G238" s="62">
        <f>SUM(G230:G237)</f>
        <v>32.919999999999995</v>
      </c>
      <c r="H238" s="62">
        <f>SUM(H230:H237)</f>
        <v>33.055</v>
      </c>
      <c r="I238" s="62">
        <f>SUM(I230:I237)</f>
        <v>132.45499999999998</v>
      </c>
      <c r="J238" s="62">
        <f>SUM(J230:J237)</f>
        <v>960.05944444444447</v>
      </c>
      <c r="K238" s="37"/>
      <c r="L238" s="45">
        <f>L230+L231+L232+L233+L234+L235+L236+L237</f>
        <v>0</v>
      </c>
    </row>
    <row r="239" spans="1:12" ht="18" customHeight="1" x14ac:dyDescent="0.25">
      <c r="A239" s="5">
        <v>3</v>
      </c>
      <c r="B239" s="5">
        <v>1</v>
      </c>
      <c r="C239" s="5" t="s">
        <v>38</v>
      </c>
      <c r="D239" s="6" t="s">
        <v>39</v>
      </c>
      <c r="E239" s="50" t="s">
        <v>59</v>
      </c>
      <c r="F239" s="40">
        <v>100</v>
      </c>
      <c r="G239" s="65">
        <f>F239*5.7/60</f>
        <v>9.5</v>
      </c>
      <c r="H239" s="65">
        <f>F239*7/60</f>
        <v>11.666666666666666</v>
      </c>
      <c r="I239" s="65">
        <f>F239*28.8/60</f>
        <v>48</v>
      </c>
      <c r="J239" s="65">
        <f>F239*205/60</f>
        <v>341.66666666666669</v>
      </c>
      <c r="K239" s="36" t="s">
        <v>62</v>
      </c>
      <c r="L239" s="44"/>
    </row>
    <row r="240" spans="1:12" ht="18" customHeight="1" x14ac:dyDescent="0.25">
      <c r="A240" s="8" t="s">
        <v>26</v>
      </c>
      <c r="B240" s="8" t="s">
        <v>26</v>
      </c>
      <c r="C240" s="8" t="s">
        <v>26</v>
      </c>
      <c r="D240" s="6" t="s">
        <v>35</v>
      </c>
      <c r="E240" s="50" t="s">
        <v>58</v>
      </c>
      <c r="F240" s="25">
        <v>200</v>
      </c>
      <c r="G240" s="63">
        <v>1</v>
      </c>
      <c r="H240" s="63">
        <v>0.1</v>
      </c>
      <c r="I240" s="63">
        <v>19.8</v>
      </c>
      <c r="J240" s="63">
        <v>84</v>
      </c>
      <c r="K240" s="36" t="s">
        <v>61</v>
      </c>
      <c r="L240" s="44"/>
    </row>
    <row r="241" spans="1:12" ht="18" customHeight="1" x14ac:dyDescent="0.25">
      <c r="A241" s="8"/>
      <c r="B241" s="8"/>
      <c r="C241" s="8"/>
      <c r="D241" s="6" t="s">
        <v>28</v>
      </c>
      <c r="E241" s="50" t="s">
        <v>60</v>
      </c>
      <c r="F241" s="25">
        <v>100</v>
      </c>
      <c r="G241" s="63">
        <v>0.4</v>
      </c>
      <c r="H241" s="63">
        <v>0.4</v>
      </c>
      <c r="I241" s="63">
        <v>9.8000000000000007</v>
      </c>
      <c r="J241" s="63">
        <v>47</v>
      </c>
      <c r="K241" s="36" t="s">
        <v>46</v>
      </c>
      <c r="L241" s="44"/>
    </row>
    <row r="242" spans="1:12" ht="18" customHeight="1" x14ac:dyDescent="0.25">
      <c r="A242" s="11"/>
      <c r="B242" s="11"/>
      <c r="C242" s="11" t="s">
        <v>29</v>
      </c>
      <c r="D242" s="12"/>
      <c r="E242" s="51"/>
      <c r="F242" s="27">
        <f>SUM(F239:F241)</f>
        <v>400</v>
      </c>
      <c r="G242" s="62">
        <f t="shared" ref="G242:J242" si="7">SUM(G239:G241)</f>
        <v>10.9</v>
      </c>
      <c r="H242" s="62">
        <f t="shared" si="7"/>
        <v>12.166666666666666</v>
      </c>
      <c r="I242" s="62">
        <f t="shared" si="7"/>
        <v>77.599999999999994</v>
      </c>
      <c r="J242" s="62">
        <f t="shared" si="7"/>
        <v>472.66666666666669</v>
      </c>
      <c r="K242" s="37"/>
      <c r="L242" s="45"/>
    </row>
    <row r="243" spans="1:12" ht="18" customHeight="1" x14ac:dyDescent="0.25">
      <c r="A243" s="13"/>
      <c r="B243" s="13"/>
      <c r="C243" s="13" t="s">
        <v>40</v>
      </c>
      <c r="D243" s="14"/>
      <c r="E243" s="52"/>
      <c r="F243" s="28">
        <f>F229+F238+F242</f>
        <v>1770</v>
      </c>
      <c r="G243" s="64">
        <f>G229+G238+G242</f>
        <v>63.769999999999996</v>
      </c>
      <c r="H243" s="64">
        <f>H229+H238+H242</f>
        <v>65.99666666666667</v>
      </c>
      <c r="I243" s="64">
        <f>I229+I238+I242</f>
        <v>302.23</v>
      </c>
      <c r="J243" s="64">
        <f>J229+J238+J242</f>
        <v>2068.8411111111113</v>
      </c>
      <c r="K243" s="38"/>
      <c r="L243" s="46">
        <f>L229+L238+L242</f>
        <v>0</v>
      </c>
    </row>
    <row r="244" spans="1:12" ht="18" customHeight="1" x14ac:dyDescent="0.25">
      <c r="A244" s="5">
        <v>3</v>
      </c>
      <c r="B244" s="5">
        <v>2</v>
      </c>
      <c r="C244" s="5" t="s">
        <v>24</v>
      </c>
      <c r="D244" s="6" t="s">
        <v>25</v>
      </c>
      <c r="E244" s="34" t="s">
        <v>63</v>
      </c>
      <c r="F244" s="17">
        <v>250</v>
      </c>
      <c r="G244" s="65">
        <f>F244*12.5/200</f>
        <v>15.625</v>
      </c>
      <c r="H244" s="65">
        <f>F244*16.2/200</f>
        <v>20.25</v>
      </c>
      <c r="I244" s="65">
        <f>F244*37/200</f>
        <v>46.25</v>
      </c>
      <c r="J244" s="65">
        <f>F244*344/200</f>
        <v>430</v>
      </c>
      <c r="K244" s="36" t="s">
        <v>71</v>
      </c>
      <c r="L244" s="44"/>
    </row>
    <row r="245" spans="1:12" ht="18" customHeight="1" x14ac:dyDescent="0.25">
      <c r="A245" s="8" t="s">
        <v>26</v>
      </c>
      <c r="B245" s="8" t="s">
        <v>26</v>
      </c>
      <c r="C245" s="8" t="s">
        <v>26</v>
      </c>
      <c r="D245" s="6" t="s">
        <v>27</v>
      </c>
      <c r="E245" s="34" t="s">
        <v>64</v>
      </c>
      <c r="F245" s="17">
        <v>200</v>
      </c>
      <c r="G245" s="65">
        <v>0.2</v>
      </c>
      <c r="H245" s="65">
        <v>0</v>
      </c>
      <c r="I245" s="65">
        <v>13.7</v>
      </c>
      <c r="J245" s="65">
        <v>56</v>
      </c>
      <c r="K245" s="36" t="s">
        <v>72</v>
      </c>
      <c r="L245" s="44"/>
    </row>
    <row r="246" spans="1:12" ht="18" customHeight="1" x14ac:dyDescent="0.25">
      <c r="A246" s="8" t="s">
        <v>26</v>
      </c>
      <c r="B246" s="8" t="s">
        <v>26</v>
      </c>
      <c r="C246" s="8" t="s">
        <v>26</v>
      </c>
      <c r="D246" s="6" t="s">
        <v>36</v>
      </c>
      <c r="E246" s="34" t="s">
        <v>65</v>
      </c>
      <c r="F246" s="17">
        <v>70</v>
      </c>
      <c r="G246" s="65">
        <f>3.2*F246/50</f>
        <v>4.4800000000000004</v>
      </c>
      <c r="H246" s="65">
        <f>7.7*F246/50</f>
        <v>10.78</v>
      </c>
      <c r="I246" s="65">
        <f>19.5*F246/50</f>
        <v>27.3</v>
      </c>
      <c r="J246" s="65">
        <f>F246*160/50</f>
        <v>224</v>
      </c>
      <c r="K246" s="36" t="s">
        <v>73</v>
      </c>
      <c r="L246" s="44"/>
    </row>
    <row r="247" spans="1:12" ht="18" customHeight="1" x14ac:dyDescent="0.25">
      <c r="A247" s="8" t="s">
        <v>26</v>
      </c>
      <c r="B247" s="8" t="s">
        <v>26</v>
      </c>
      <c r="C247" s="8" t="s">
        <v>26</v>
      </c>
      <c r="D247" s="6" t="s">
        <v>37</v>
      </c>
      <c r="E247" s="34" t="s">
        <v>45</v>
      </c>
      <c r="F247" s="17">
        <v>50</v>
      </c>
      <c r="G247" s="65">
        <f>SUM(F247*1.68/30)</f>
        <v>2.8</v>
      </c>
      <c r="H247" s="65">
        <f>SUM(F247*0.33/30)</f>
        <v>0.55000000000000004</v>
      </c>
      <c r="I247" s="65">
        <f>SUM(F247*14.82/30)</f>
        <v>24.7</v>
      </c>
      <c r="J247" s="65">
        <f>SUM(F247*68.97/30)</f>
        <v>114.95</v>
      </c>
      <c r="K247" s="36" t="s">
        <v>46</v>
      </c>
      <c r="L247" s="44"/>
    </row>
    <row r="248" spans="1:12" ht="18" customHeight="1" x14ac:dyDescent="0.25">
      <c r="A248" s="8" t="s">
        <v>26</v>
      </c>
      <c r="B248" s="8" t="s">
        <v>26</v>
      </c>
      <c r="C248" s="8" t="s">
        <v>26</v>
      </c>
      <c r="D248" s="10"/>
      <c r="E248" s="50"/>
      <c r="F248" s="25"/>
      <c r="G248" s="61"/>
      <c r="H248" s="61"/>
      <c r="I248" s="61"/>
      <c r="J248" s="61"/>
      <c r="K248" s="36"/>
      <c r="L248" s="44"/>
    </row>
    <row r="249" spans="1:12" ht="18" customHeight="1" x14ac:dyDescent="0.25">
      <c r="A249" s="8" t="s">
        <v>26</v>
      </c>
      <c r="B249" s="8" t="s">
        <v>26</v>
      </c>
      <c r="C249" s="8" t="s">
        <v>26</v>
      </c>
      <c r="D249" s="10"/>
      <c r="E249" s="50"/>
      <c r="F249" s="25"/>
      <c r="G249" s="61"/>
      <c r="H249" s="61"/>
      <c r="I249" s="61"/>
      <c r="J249" s="61"/>
      <c r="K249" s="36"/>
      <c r="L249" s="44"/>
    </row>
    <row r="250" spans="1:12" ht="18" customHeight="1" x14ac:dyDescent="0.25">
      <c r="A250" s="11"/>
      <c r="B250" s="11"/>
      <c r="C250" s="11" t="s">
        <v>29</v>
      </c>
      <c r="D250" s="12"/>
      <c r="E250" s="51"/>
      <c r="F250" s="27">
        <f>SUM(F244:F249)</f>
        <v>570</v>
      </c>
      <c r="G250" s="62">
        <f>SUM(G244:G249)</f>
        <v>23.105</v>
      </c>
      <c r="H250" s="62">
        <f>SUM(H244:H249)</f>
        <v>31.580000000000002</v>
      </c>
      <c r="I250" s="62">
        <f>SUM(I244:I249)</f>
        <v>111.95</v>
      </c>
      <c r="J250" s="62">
        <f>SUM(J244:J249)</f>
        <v>824.95</v>
      </c>
      <c r="K250" s="37"/>
      <c r="L250" s="45">
        <f>SUM(L244:L249)</f>
        <v>0</v>
      </c>
    </row>
    <row r="251" spans="1:12" ht="18" customHeight="1" x14ac:dyDescent="0.25">
      <c r="A251" s="5">
        <v>3</v>
      </c>
      <c r="B251" s="5">
        <v>2</v>
      </c>
      <c r="C251" s="5" t="s">
        <v>30</v>
      </c>
      <c r="D251" s="6" t="s">
        <v>31</v>
      </c>
      <c r="E251" s="34" t="s">
        <v>66</v>
      </c>
      <c r="F251" s="17">
        <v>100</v>
      </c>
      <c r="G251" s="65">
        <f>3.1*F251/100</f>
        <v>3.1</v>
      </c>
      <c r="H251" s="65">
        <f>7.3*F251/100</f>
        <v>7.3</v>
      </c>
      <c r="I251" s="65">
        <f>10.4*F251/100+8</f>
        <v>18.399999999999999</v>
      </c>
      <c r="J251" s="65">
        <v>151.69999999999999</v>
      </c>
      <c r="K251" s="36" t="s">
        <v>74</v>
      </c>
      <c r="L251" s="44"/>
    </row>
    <row r="252" spans="1:12" ht="18" customHeight="1" x14ac:dyDescent="0.25">
      <c r="A252" s="8" t="s">
        <v>26</v>
      </c>
      <c r="B252" s="8" t="s">
        <v>26</v>
      </c>
      <c r="C252" s="8" t="s">
        <v>26</v>
      </c>
      <c r="D252" s="6" t="s">
        <v>32</v>
      </c>
      <c r="E252" s="34" t="s">
        <v>69</v>
      </c>
      <c r="F252" s="17">
        <v>250</v>
      </c>
      <c r="G252" s="65">
        <f>F252*1.9/250+1.6+0.2</f>
        <v>3.7</v>
      </c>
      <c r="H252" s="65">
        <f>F252*3/250+1.7</f>
        <v>4.7</v>
      </c>
      <c r="I252" s="65">
        <f>F252*8/250+0.4</f>
        <v>8.4</v>
      </c>
      <c r="J252" s="65">
        <f>71*F252/200+22</f>
        <v>110.75</v>
      </c>
      <c r="K252" s="36" t="s">
        <v>75</v>
      </c>
      <c r="L252" s="44"/>
    </row>
    <row r="253" spans="1:12" ht="18" customHeight="1" x14ac:dyDescent="0.25">
      <c r="A253" s="8" t="s">
        <v>26</v>
      </c>
      <c r="B253" s="8" t="s">
        <v>26</v>
      </c>
      <c r="C253" s="8" t="s">
        <v>26</v>
      </c>
      <c r="D253" s="6" t="s">
        <v>33</v>
      </c>
      <c r="E253" s="34" t="s">
        <v>67</v>
      </c>
      <c r="F253" s="17">
        <v>130</v>
      </c>
      <c r="G253" s="65">
        <f>F253*16.8/120</f>
        <v>18.2</v>
      </c>
      <c r="H253" s="65">
        <f>F253*9.1/120+5</f>
        <v>14.858333333333333</v>
      </c>
      <c r="I253" s="65">
        <f>F253*6/120+5</f>
        <v>11.5</v>
      </c>
      <c r="J253" s="65">
        <f>F253*238.1/120</f>
        <v>257.94166666666666</v>
      </c>
      <c r="K253" s="36" t="s">
        <v>76</v>
      </c>
      <c r="L253" s="44"/>
    </row>
    <row r="254" spans="1:12" ht="18" customHeight="1" x14ac:dyDescent="0.25">
      <c r="A254" s="8" t="s">
        <v>26</v>
      </c>
      <c r="B254" s="8" t="s">
        <v>26</v>
      </c>
      <c r="C254" s="8" t="s">
        <v>26</v>
      </c>
      <c r="D254" s="6" t="s">
        <v>34</v>
      </c>
      <c r="E254" s="34" t="s">
        <v>68</v>
      </c>
      <c r="F254" s="17">
        <v>200</v>
      </c>
      <c r="G254" s="65">
        <f>F254*8.84/200</f>
        <v>8.84</v>
      </c>
      <c r="H254" s="65">
        <f>F254*5.92/200</f>
        <v>5.92</v>
      </c>
      <c r="I254" s="65">
        <f>F254*38.4/200+2</f>
        <v>40.4</v>
      </c>
      <c r="J254" s="65">
        <f>F254*181.5/150</f>
        <v>242</v>
      </c>
      <c r="K254" s="36" t="s">
        <v>77</v>
      </c>
      <c r="L254" s="44"/>
    </row>
    <row r="255" spans="1:12" ht="18" customHeight="1" x14ac:dyDescent="0.25">
      <c r="A255" s="8" t="s">
        <v>26</v>
      </c>
      <c r="B255" s="8" t="s">
        <v>26</v>
      </c>
      <c r="C255" s="8" t="s">
        <v>26</v>
      </c>
      <c r="D255" s="6" t="s">
        <v>35</v>
      </c>
      <c r="E255" s="34" t="s">
        <v>70</v>
      </c>
      <c r="F255" s="17">
        <v>200</v>
      </c>
      <c r="G255" s="65">
        <v>0.2</v>
      </c>
      <c r="H255" s="65">
        <v>0</v>
      </c>
      <c r="I255" s="65">
        <v>11.9</v>
      </c>
      <c r="J255" s="65">
        <v>48</v>
      </c>
      <c r="K255" s="36" t="s">
        <v>78</v>
      </c>
      <c r="L255" s="44"/>
    </row>
    <row r="256" spans="1:12" ht="18" customHeight="1" x14ac:dyDescent="0.25">
      <c r="A256" s="8" t="s">
        <v>26</v>
      </c>
      <c r="B256" s="8" t="s">
        <v>26</v>
      </c>
      <c r="C256" s="8" t="s">
        <v>26</v>
      </c>
      <c r="D256" s="6" t="s">
        <v>36</v>
      </c>
      <c r="E256" s="34" t="s">
        <v>52</v>
      </c>
      <c r="F256" s="17">
        <v>50</v>
      </c>
      <c r="G256" s="65">
        <f>SUM(F256*2.37/30)</f>
        <v>3.95</v>
      </c>
      <c r="H256" s="65">
        <f>SUM(F256*0.3/30)</f>
        <v>0.5</v>
      </c>
      <c r="I256" s="65">
        <f>SUM(F256*14.49/30)</f>
        <v>24.15</v>
      </c>
      <c r="J256" s="65">
        <f>SUM(F256*70.14/30)</f>
        <v>116.9</v>
      </c>
      <c r="K256" s="36" t="s">
        <v>46</v>
      </c>
      <c r="L256" s="44"/>
    </row>
    <row r="257" spans="1:12" ht="18" customHeight="1" x14ac:dyDescent="0.25">
      <c r="A257" s="8" t="s">
        <v>26</v>
      </c>
      <c r="B257" s="8" t="s">
        <v>26</v>
      </c>
      <c r="C257" s="8" t="s">
        <v>26</v>
      </c>
      <c r="D257" s="6" t="s">
        <v>37</v>
      </c>
      <c r="E257" s="34" t="s">
        <v>45</v>
      </c>
      <c r="F257" s="17">
        <v>40</v>
      </c>
      <c r="G257" s="65">
        <f>SUM(F257*1.68/30)</f>
        <v>2.2400000000000002</v>
      </c>
      <c r="H257" s="65">
        <f>SUM(F257*0.33/30)</f>
        <v>0.44000000000000006</v>
      </c>
      <c r="I257" s="65">
        <f>SUM(F257*14.82/30)</f>
        <v>19.759999999999998</v>
      </c>
      <c r="J257" s="65">
        <f>SUM(F257*68.97/30)</f>
        <v>91.960000000000008</v>
      </c>
      <c r="K257" s="36" t="s">
        <v>46</v>
      </c>
      <c r="L257" s="44"/>
    </row>
    <row r="258" spans="1:12" ht="18" customHeight="1" x14ac:dyDescent="0.25">
      <c r="A258" s="8" t="s">
        <v>26</v>
      </c>
      <c r="B258" s="8" t="s">
        <v>26</v>
      </c>
      <c r="C258" s="8" t="s">
        <v>26</v>
      </c>
      <c r="D258" s="10"/>
      <c r="E258" s="50"/>
      <c r="F258" s="25"/>
      <c r="G258" s="61"/>
      <c r="H258" s="61"/>
      <c r="I258" s="61"/>
      <c r="J258" s="61"/>
      <c r="K258" s="36"/>
      <c r="L258" s="44"/>
    </row>
    <row r="259" spans="1:12" ht="18" customHeight="1" x14ac:dyDescent="0.25">
      <c r="A259" s="8" t="s">
        <v>26</v>
      </c>
      <c r="B259" s="8" t="s">
        <v>26</v>
      </c>
      <c r="C259" s="8" t="s">
        <v>26</v>
      </c>
      <c r="D259" s="10"/>
      <c r="E259" s="50"/>
      <c r="F259" s="25"/>
      <c r="G259" s="61"/>
      <c r="H259" s="61"/>
      <c r="I259" s="61"/>
      <c r="J259" s="61"/>
      <c r="K259" s="36"/>
      <c r="L259" s="44"/>
    </row>
    <row r="260" spans="1:12" ht="18" customHeight="1" x14ac:dyDescent="0.25">
      <c r="A260" s="11"/>
      <c r="B260" s="11"/>
      <c r="C260" s="11" t="s">
        <v>29</v>
      </c>
      <c r="D260" s="12"/>
      <c r="E260" s="51"/>
      <c r="F260" s="27">
        <f>SUM(F251:F259)</f>
        <v>970</v>
      </c>
      <c r="G260" s="62">
        <f>SUM(G251:G259)</f>
        <v>40.230000000000011</v>
      </c>
      <c r="H260" s="62">
        <f>SUM(H251:H259)</f>
        <v>33.718333333333334</v>
      </c>
      <c r="I260" s="62">
        <f>SUM(I251:I259)</f>
        <v>134.51</v>
      </c>
      <c r="J260" s="62">
        <f>SUM(J251:J259)</f>
        <v>1019.2516666666667</v>
      </c>
      <c r="K260" s="37"/>
      <c r="L260" s="45">
        <f>SUM(L251:L259)</f>
        <v>0</v>
      </c>
    </row>
    <row r="261" spans="1:12" ht="18" customHeight="1" x14ac:dyDescent="0.25">
      <c r="A261" s="5">
        <v>3</v>
      </c>
      <c r="B261" s="5">
        <v>2</v>
      </c>
      <c r="C261" s="5" t="s">
        <v>38</v>
      </c>
      <c r="D261" s="6" t="s">
        <v>39</v>
      </c>
      <c r="E261" s="53" t="s">
        <v>79</v>
      </c>
      <c r="F261" s="73">
        <v>100</v>
      </c>
      <c r="G261" s="72">
        <f>F261*10.3/100</f>
        <v>10.3</v>
      </c>
      <c r="H261" s="72">
        <f>F261*14.6/100</f>
        <v>14.6</v>
      </c>
      <c r="I261" s="72">
        <f>F261*22.9/100</f>
        <v>22.9</v>
      </c>
      <c r="J261" s="72">
        <f>F261*265/100</f>
        <v>265</v>
      </c>
      <c r="K261" s="36" t="s">
        <v>81</v>
      </c>
      <c r="L261" s="44"/>
    </row>
    <row r="262" spans="1:12" ht="18" customHeight="1" x14ac:dyDescent="0.25">
      <c r="A262" s="8" t="s">
        <v>26</v>
      </c>
      <c r="B262" s="8" t="s">
        <v>26</v>
      </c>
      <c r="C262" s="8" t="s">
        <v>26</v>
      </c>
      <c r="D262" s="6" t="s">
        <v>35</v>
      </c>
      <c r="E262" s="50" t="s">
        <v>80</v>
      </c>
      <c r="F262" s="31">
        <v>200</v>
      </c>
      <c r="G262" s="63">
        <v>0.4</v>
      </c>
      <c r="H262" s="63">
        <v>0.4</v>
      </c>
      <c r="I262" s="63">
        <v>18.399999999999999</v>
      </c>
      <c r="J262" s="63">
        <v>80</v>
      </c>
      <c r="K262" s="36" t="s">
        <v>82</v>
      </c>
      <c r="L262" s="44"/>
    </row>
    <row r="263" spans="1:12" ht="18" customHeight="1" x14ac:dyDescent="0.25">
      <c r="A263" s="11"/>
      <c r="B263" s="11"/>
      <c r="C263" s="11" t="s">
        <v>29</v>
      </c>
      <c r="D263" s="12"/>
      <c r="E263" s="51"/>
      <c r="F263" s="27">
        <f>SUM(F261:F262)</f>
        <v>300</v>
      </c>
      <c r="G263" s="62">
        <f>SUM(G261:G262)</f>
        <v>10.700000000000001</v>
      </c>
      <c r="H263" s="62">
        <f>SUM(H261:H262)</f>
        <v>15</v>
      </c>
      <c r="I263" s="62">
        <f>SUM(I261:I262)</f>
        <v>41.3</v>
      </c>
      <c r="J263" s="62">
        <f>SUM(J261:J262)</f>
        <v>345</v>
      </c>
      <c r="K263" s="37"/>
      <c r="L263" s="45">
        <f>SUM(L261:L262)</f>
        <v>0</v>
      </c>
    </row>
    <row r="264" spans="1:12" ht="18" customHeight="1" x14ac:dyDescent="0.25">
      <c r="A264" s="13"/>
      <c r="B264" s="13"/>
      <c r="C264" s="13" t="s">
        <v>40</v>
      </c>
      <c r="D264" s="14"/>
      <c r="E264" s="52"/>
      <c r="F264" s="28">
        <f>F250+F260+F263</f>
        <v>1840</v>
      </c>
      <c r="G264" s="64">
        <f>G250+G260+G263</f>
        <v>74.035000000000011</v>
      </c>
      <c r="H264" s="64">
        <f>H250+H260+H263</f>
        <v>80.298333333333332</v>
      </c>
      <c r="I264" s="64">
        <f>I250+I260+I263</f>
        <v>287.76</v>
      </c>
      <c r="J264" s="64">
        <f>J250+J260+J263</f>
        <v>2189.2016666666668</v>
      </c>
      <c r="K264" s="38"/>
      <c r="L264" s="46">
        <f>L250+L260+L263</f>
        <v>0</v>
      </c>
    </row>
    <row r="265" spans="1:12" ht="18" customHeight="1" x14ac:dyDescent="0.25">
      <c r="A265" s="5">
        <v>3</v>
      </c>
      <c r="B265" s="5">
        <v>3</v>
      </c>
      <c r="C265" s="5" t="s">
        <v>24</v>
      </c>
      <c r="D265" s="6" t="s">
        <v>25</v>
      </c>
      <c r="E265" s="53" t="s">
        <v>83</v>
      </c>
      <c r="F265" s="17">
        <v>250</v>
      </c>
      <c r="G265" s="65">
        <f>F265*5.5/200</f>
        <v>6.875</v>
      </c>
      <c r="H265" s="65">
        <f>F265*9.9/200</f>
        <v>12.375</v>
      </c>
      <c r="I265" s="65">
        <f>F265*39.26/200</f>
        <v>49.075000000000003</v>
      </c>
      <c r="J265" s="65">
        <f>F265*268/200</f>
        <v>335</v>
      </c>
      <c r="K265" s="36" t="s">
        <v>90</v>
      </c>
      <c r="L265" s="44"/>
    </row>
    <row r="266" spans="1:12" ht="18" customHeight="1" x14ac:dyDescent="0.25">
      <c r="A266" s="8" t="s">
        <v>26</v>
      </c>
      <c r="B266" s="8" t="s">
        <v>26</v>
      </c>
      <c r="C266" s="8" t="s">
        <v>26</v>
      </c>
      <c r="D266" s="10" t="s">
        <v>36</v>
      </c>
      <c r="E266" s="53" t="s">
        <v>84</v>
      </c>
      <c r="F266" s="17">
        <v>65</v>
      </c>
      <c r="G266" s="65">
        <f>F266*5/45</f>
        <v>7.2222222222222223</v>
      </c>
      <c r="H266" s="65">
        <f>F266*6.6/45</f>
        <v>9.5333333333333332</v>
      </c>
      <c r="I266" s="65">
        <f>F266*17/45</f>
        <v>24.555555555555557</v>
      </c>
      <c r="J266" s="65">
        <f>F266*149/45</f>
        <v>215.22222222222223</v>
      </c>
      <c r="K266" s="36" t="s">
        <v>91</v>
      </c>
      <c r="L266" s="44"/>
    </row>
    <row r="267" spans="1:12" ht="18" customHeight="1" x14ac:dyDescent="0.25">
      <c r="A267" s="8" t="s">
        <v>26</v>
      </c>
      <c r="B267" s="8" t="s">
        <v>26</v>
      </c>
      <c r="C267" s="8" t="s">
        <v>26</v>
      </c>
      <c r="D267" s="6" t="s">
        <v>27</v>
      </c>
      <c r="E267" s="53" t="s">
        <v>85</v>
      </c>
      <c r="F267" s="17">
        <v>200</v>
      </c>
      <c r="G267" s="65">
        <v>3.6</v>
      </c>
      <c r="H267" s="65">
        <v>3.3</v>
      </c>
      <c r="I267" s="65">
        <v>22.8</v>
      </c>
      <c r="J267" s="65">
        <v>135</v>
      </c>
      <c r="K267" s="36" t="s">
        <v>92</v>
      </c>
      <c r="L267" s="44"/>
    </row>
    <row r="268" spans="1:12" ht="18" customHeight="1" x14ac:dyDescent="0.25">
      <c r="A268" s="8" t="s">
        <v>26</v>
      </c>
      <c r="B268" s="8" t="s">
        <v>26</v>
      </c>
      <c r="C268" s="8" t="s">
        <v>26</v>
      </c>
      <c r="D268" s="6" t="s">
        <v>37</v>
      </c>
      <c r="E268" s="53" t="s">
        <v>45</v>
      </c>
      <c r="F268" s="17">
        <v>50</v>
      </c>
      <c r="G268" s="65">
        <f>SUM(F268*1.68/30)</f>
        <v>2.8</v>
      </c>
      <c r="H268" s="65">
        <f>SUM(F268*0.33/30)</f>
        <v>0.55000000000000004</v>
      </c>
      <c r="I268" s="65">
        <f>SUM(F268*14.82/30)</f>
        <v>24.7</v>
      </c>
      <c r="J268" s="65">
        <f>SUM(F268*68.97/30)</f>
        <v>114.95</v>
      </c>
      <c r="K268" s="36" t="s">
        <v>46</v>
      </c>
      <c r="L268" s="44"/>
    </row>
    <row r="269" spans="1:12" ht="18" customHeight="1" x14ac:dyDescent="0.25">
      <c r="A269" s="8" t="s">
        <v>26</v>
      </c>
      <c r="B269" s="8" t="s">
        <v>26</v>
      </c>
      <c r="C269" s="8" t="s">
        <v>26</v>
      </c>
      <c r="D269" s="6"/>
      <c r="E269" s="50"/>
      <c r="F269" s="25"/>
      <c r="G269" s="61"/>
      <c r="H269" s="61"/>
      <c r="I269" s="61"/>
      <c r="J269" s="61"/>
      <c r="K269" s="36"/>
      <c r="L269" s="44"/>
    </row>
    <row r="270" spans="1:12" ht="18" customHeight="1" x14ac:dyDescent="0.25">
      <c r="A270" s="8" t="s">
        <v>26</v>
      </c>
      <c r="B270" s="8" t="s">
        <v>26</v>
      </c>
      <c r="C270" s="8" t="s">
        <v>26</v>
      </c>
      <c r="D270" s="10"/>
      <c r="E270" s="50"/>
      <c r="F270" s="25"/>
      <c r="G270" s="61"/>
      <c r="H270" s="61"/>
      <c r="I270" s="61"/>
      <c r="J270" s="61"/>
      <c r="K270" s="36"/>
      <c r="L270" s="44"/>
    </row>
    <row r="271" spans="1:12" ht="18" customHeight="1" x14ac:dyDescent="0.25">
      <c r="A271" s="8" t="s">
        <v>26</v>
      </c>
      <c r="B271" s="8" t="s">
        <v>26</v>
      </c>
      <c r="C271" s="8" t="s">
        <v>26</v>
      </c>
      <c r="D271" s="10"/>
      <c r="E271" s="50"/>
      <c r="F271" s="25"/>
      <c r="G271" s="61"/>
      <c r="H271" s="61"/>
      <c r="I271" s="61"/>
      <c r="J271" s="61"/>
      <c r="K271" s="36"/>
      <c r="L271" s="44"/>
    </row>
    <row r="272" spans="1:12" ht="18" customHeight="1" x14ac:dyDescent="0.25">
      <c r="A272" s="11"/>
      <c r="B272" s="11"/>
      <c r="C272" s="11" t="s">
        <v>29</v>
      </c>
      <c r="D272" s="12"/>
      <c r="E272" s="51"/>
      <c r="F272" s="27">
        <f>SUM(F265:F271)</f>
        <v>565</v>
      </c>
      <c r="G272" s="62">
        <f>SUM(G265:G271)</f>
        <v>20.497222222222224</v>
      </c>
      <c r="H272" s="62">
        <f>SUM(H265:H271)</f>
        <v>25.758333333333333</v>
      </c>
      <c r="I272" s="62">
        <f>SUM(I265:I271)</f>
        <v>121.13055555555556</v>
      </c>
      <c r="J272" s="62">
        <f>SUM(J265:J271)</f>
        <v>800.17222222222222</v>
      </c>
      <c r="K272" s="37"/>
      <c r="L272" s="45">
        <f>SUM(L265:L271)</f>
        <v>0</v>
      </c>
    </row>
    <row r="273" spans="1:12" ht="18" customHeight="1" x14ac:dyDescent="0.25">
      <c r="A273" s="5">
        <v>3</v>
      </c>
      <c r="B273" s="5">
        <v>3</v>
      </c>
      <c r="C273" s="5" t="s">
        <v>30</v>
      </c>
      <c r="D273" s="6" t="s">
        <v>31</v>
      </c>
      <c r="E273" s="34" t="s">
        <v>86</v>
      </c>
      <c r="F273" s="17">
        <v>80</v>
      </c>
      <c r="G273" s="65">
        <f>F273*1.4/100</f>
        <v>1.1200000000000001</v>
      </c>
      <c r="H273" s="65">
        <f>F273*6/100</f>
        <v>4.8</v>
      </c>
      <c r="I273" s="65">
        <f>F273*6.8/100</f>
        <v>5.44</v>
      </c>
      <c r="J273" s="65">
        <f>F273*87/100</f>
        <v>69.599999999999994</v>
      </c>
      <c r="K273" s="36" t="s">
        <v>93</v>
      </c>
      <c r="L273" s="44"/>
    </row>
    <row r="274" spans="1:12" ht="18" customHeight="1" x14ac:dyDescent="0.25">
      <c r="A274" s="8" t="s">
        <v>26</v>
      </c>
      <c r="B274" s="8" t="s">
        <v>26</v>
      </c>
      <c r="C274" s="8" t="s">
        <v>26</v>
      </c>
      <c r="D274" s="6" t="s">
        <v>32</v>
      </c>
      <c r="E274" s="34" t="s">
        <v>99</v>
      </c>
      <c r="F274" s="17">
        <v>250</v>
      </c>
      <c r="G274" s="65">
        <f>F274*2.5/250+1.6</f>
        <v>4.0999999999999996</v>
      </c>
      <c r="H274" s="65">
        <f>F274*5.4/250+1.7</f>
        <v>7.1000000000000005</v>
      </c>
      <c r="I274" s="65">
        <f>F274*16.6/250</f>
        <v>16.600000000000001</v>
      </c>
      <c r="J274" s="65">
        <f>F274*125/250+22</f>
        <v>147</v>
      </c>
      <c r="K274" s="36" t="s">
        <v>94</v>
      </c>
      <c r="L274" s="44"/>
    </row>
    <row r="275" spans="1:12" ht="18" customHeight="1" x14ac:dyDescent="0.25">
      <c r="A275" s="8" t="s">
        <v>26</v>
      </c>
      <c r="B275" s="8" t="s">
        <v>26</v>
      </c>
      <c r="C275" s="8" t="s">
        <v>26</v>
      </c>
      <c r="D275" s="6" t="s">
        <v>33</v>
      </c>
      <c r="E275" s="34" t="s">
        <v>87</v>
      </c>
      <c r="F275" s="17">
        <v>130</v>
      </c>
      <c r="G275" s="65">
        <f>F275*13.1/130+1.5</f>
        <v>14.6</v>
      </c>
      <c r="H275" s="65">
        <f>F275*9.2/130+5.5</f>
        <v>14.7</v>
      </c>
      <c r="I275" s="65">
        <f>F275*11.8/130</f>
        <v>11.8</v>
      </c>
      <c r="J275" s="65">
        <v>223.83</v>
      </c>
      <c r="K275" s="36" t="s">
        <v>95</v>
      </c>
      <c r="L275" s="44"/>
    </row>
    <row r="276" spans="1:12" ht="18" customHeight="1" x14ac:dyDescent="0.25">
      <c r="A276" s="8" t="s">
        <v>26</v>
      </c>
      <c r="B276" s="8" t="s">
        <v>26</v>
      </c>
      <c r="C276" s="8" t="s">
        <v>26</v>
      </c>
      <c r="D276" s="6" t="s">
        <v>34</v>
      </c>
      <c r="E276" s="34" t="s">
        <v>88</v>
      </c>
      <c r="F276" s="17">
        <v>200</v>
      </c>
      <c r="G276" s="65">
        <f>F276*4.2/200</f>
        <v>4.2</v>
      </c>
      <c r="H276" s="65">
        <f>F276*4.9/200</f>
        <v>4.9000000000000004</v>
      </c>
      <c r="I276" s="65">
        <f>F276*27.2/200</f>
        <v>27.2</v>
      </c>
      <c r="J276" s="65">
        <f>F276*170/200</f>
        <v>170</v>
      </c>
      <c r="K276" s="36" t="s">
        <v>96</v>
      </c>
      <c r="L276" s="44"/>
    </row>
    <row r="277" spans="1:12" ht="18" customHeight="1" x14ac:dyDescent="0.25">
      <c r="A277" s="8" t="s">
        <v>26</v>
      </c>
      <c r="B277" s="8" t="s">
        <v>26</v>
      </c>
      <c r="C277" s="8" t="s">
        <v>26</v>
      </c>
      <c r="D277" s="6" t="s">
        <v>35</v>
      </c>
      <c r="E277" s="34" t="s">
        <v>89</v>
      </c>
      <c r="F277" s="17">
        <v>200</v>
      </c>
      <c r="G277" s="65">
        <v>0</v>
      </c>
      <c r="H277" s="65">
        <v>0</v>
      </c>
      <c r="I277" s="65">
        <v>27.8</v>
      </c>
      <c r="J277" s="65">
        <v>111</v>
      </c>
      <c r="K277" s="36" t="s">
        <v>97</v>
      </c>
      <c r="L277" s="44"/>
    </row>
    <row r="278" spans="1:12" ht="18" customHeight="1" x14ac:dyDescent="0.25">
      <c r="A278" s="8" t="s">
        <v>26</v>
      </c>
      <c r="B278" s="8" t="s">
        <v>26</v>
      </c>
      <c r="C278" s="8" t="s">
        <v>26</v>
      </c>
      <c r="D278" s="6" t="s">
        <v>36</v>
      </c>
      <c r="E278" s="34" t="s">
        <v>52</v>
      </c>
      <c r="F278" s="70">
        <v>50</v>
      </c>
      <c r="G278" s="65">
        <f>SUM(F278*2.37/30)</f>
        <v>3.95</v>
      </c>
      <c r="H278" s="65">
        <f>SUM(F278*0.3/30)</f>
        <v>0.5</v>
      </c>
      <c r="I278" s="65">
        <f>SUM(F278*14.49/30)</f>
        <v>24.15</v>
      </c>
      <c r="J278" s="65">
        <f>SUM(F278*70.14/30)</f>
        <v>116.9</v>
      </c>
      <c r="K278" s="36" t="s">
        <v>46</v>
      </c>
      <c r="L278" s="44"/>
    </row>
    <row r="279" spans="1:12" ht="18" customHeight="1" x14ac:dyDescent="0.25">
      <c r="A279" s="8" t="s">
        <v>26</v>
      </c>
      <c r="B279" s="8" t="s">
        <v>26</v>
      </c>
      <c r="C279" s="8" t="s">
        <v>26</v>
      </c>
      <c r="D279" s="6" t="s">
        <v>37</v>
      </c>
      <c r="E279" s="34" t="s">
        <v>45</v>
      </c>
      <c r="F279" s="70">
        <v>50</v>
      </c>
      <c r="G279" s="65">
        <f>SUM(F279*1.68/30)</f>
        <v>2.8</v>
      </c>
      <c r="H279" s="65">
        <f>SUM(F279*0.33/30)</f>
        <v>0.55000000000000004</v>
      </c>
      <c r="I279" s="65">
        <f>SUM(F279*14.82/30)</f>
        <v>24.7</v>
      </c>
      <c r="J279" s="65">
        <f>SUM(F279*68.97/30)</f>
        <v>114.95</v>
      </c>
      <c r="K279" s="36" t="s">
        <v>46</v>
      </c>
      <c r="L279" s="44"/>
    </row>
    <row r="280" spans="1:12" ht="18" customHeight="1" x14ac:dyDescent="0.25">
      <c r="A280" s="8" t="s">
        <v>26</v>
      </c>
      <c r="B280" s="8" t="s">
        <v>26</v>
      </c>
      <c r="C280" s="8" t="s">
        <v>26</v>
      </c>
      <c r="D280" s="10"/>
      <c r="E280" s="50"/>
      <c r="F280" s="25"/>
      <c r="G280" s="61"/>
      <c r="H280" s="61"/>
      <c r="I280" s="61"/>
      <c r="J280" s="61"/>
      <c r="K280" s="36"/>
      <c r="L280" s="44"/>
    </row>
    <row r="281" spans="1:12" ht="18" customHeight="1" x14ac:dyDescent="0.25">
      <c r="A281" s="8" t="s">
        <v>26</v>
      </c>
      <c r="B281" s="8" t="s">
        <v>26</v>
      </c>
      <c r="C281" s="8" t="s">
        <v>26</v>
      </c>
      <c r="D281" s="10"/>
      <c r="E281" s="50"/>
      <c r="F281" s="25"/>
      <c r="G281" s="61"/>
      <c r="H281" s="61"/>
      <c r="I281" s="61"/>
      <c r="J281" s="61"/>
      <c r="K281" s="36"/>
      <c r="L281" s="44"/>
    </row>
    <row r="282" spans="1:12" ht="18" customHeight="1" x14ac:dyDescent="0.25">
      <c r="A282" s="11"/>
      <c r="B282" s="11"/>
      <c r="C282" s="11" t="s">
        <v>29</v>
      </c>
      <c r="D282" s="12"/>
      <c r="E282" s="51"/>
      <c r="F282" s="27">
        <f>SUM(F273:F281)</f>
        <v>960</v>
      </c>
      <c r="G282" s="62">
        <f>SUM(G273:G281)</f>
        <v>30.77</v>
      </c>
      <c r="H282" s="62">
        <f>SUM(H273:H281)</f>
        <v>32.549999999999997</v>
      </c>
      <c r="I282" s="62">
        <f>SUM(I273:I281)</f>
        <v>137.69</v>
      </c>
      <c r="J282" s="62">
        <f>SUM(J273:J281)</f>
        <v>953.28000000000009</v>
      </c>
      <c r="K282" s="37"/>
      <c r="L282" s="45">
        <f>SUM(L273:L281)</f>
        <v>0</v>
      </c>
    </row>
    <row r="283" spans="1:12" ht="18" customHeight="1" x14ac:dyDescent="0.25">
      <c r="A283" s="5">
        <v>3</v>
      </c>
      <c r="B283" s="5">
        <v>3</v>
      </c>
      <c r="C283" s="5" t="s">
        <v>38</v>
      </c>
      <c r="D283" s="6" t="s">
        <v>39</v>
      </c>
      <c r="E283" s="34" t="s">
        <v>100</v>
      </c>
      <c r="F283" s="74">
        <v>100</v>
      </c>
      <c r="G283" s="65">
        <f>F283*6.1/50</f>
        <v>12.2</v>
      </c>
      <c r="H283" s="65">
        <f>F283*3.7/50</f>
        <v>7.4</v>
      </c>
      <c r="I283" s="65">
        <f>F283*17.5/50</f>
        <v>35</v>
      </c>
      <c r="J283" s="65">
        <f>F283*130/50</f>
        <v>260</v>
      </c>
      <c r="K283" s="36" t="s">
        <v>101</v>
      </c>
      <c r="L283" s="44"/>
    </row>
    <row r="284" spans="1:12" ht="18" customHeight="1" x14ac:dyDescent="0.25">
      <c r="A284" s="8" t="s">
        <v>26</v>
      </c>
      <c r="B284" s="8" t="s">
        <v>26</v>
      </c>
      <c r="C284" s="8" t="s">
        <v>26</v>
      </c>
      <c r="D284" s="6" t="s">
        <v>35</v>
      </c>
      <c r="E284" s="50" t="s">
        <v>58</v>
      </c>
      <c r="F284" s="25">
        <v>200</v>
      </c>
      <c r="G284" s="61">
        <v>1</v>
      </c>
      <c r="H284" s="61">
        <v>0.1</v>
      </c>
      <c r="I284" s="61">
        <v>19.8</v>
      </c>
      <c r="J284" s="61">
        <v>84</v>
      </c>
      <c r="K284" s="36" t="s">
        <v>61</v>
      </c>
      <c r="L284" s="44"/>
    </row>
    <row r="285" spans="1:12" ht="18" customHeight="1" x14ac:dyDescent="0.25">
      <c r="A285" s="8"/>
      <c r="B285" s="8"/>
      <c r="C285" s="8"/>
      <c r="D285" s="6" t="s">
        <v>28</v>
      </c>
      <c r="E285" s="50" t="s">
        <v>60</v>
      </c>
      <c r="F285" s="25">
        <v>100</v>
      </c>
      <c r="G285" s="61">
        <v>0.4</v>
      </c>
      <c r="H285" s="61">
        <v>0.4</v>
      </c>
      <c r="I285" s="61">
        <v>9.8000000000000007</v>
      </c>
      <c r="J285" s="61">
        <v>47</v>
      </c>
      <c r="K285" s="36" t="s">
        <v>46</v>
      </c>
      <c r="L285" s="44"/>
    </row>
    <row r="286" spans="1:12" ht="18" customHeight="1" x14ac:dyDescent="0.25">
      <c r="A286" s="11"/>
      <c r="B286" s="11"/>
      <c r="C286" s="11" t="s">
        <v>29</v>
      </c>
      <c r="D286" s="12"/>
      <c r="E286" s="51"/>
      <c r="F286" s="27">
        <f>SUM(F283:F285)</f>
        <v>400</v>
      </c>
      <c r="G286" s="62">
        <f t="shared" ref="G286:J286" si="8">SUM(G283:G285)</f>
        <v>13.6</v>
      </c>
      <c r="H286" s="62">
        <f t="shared" si="8"/>
        <v>7.9</v>
      </c>
      <c r="I286" s="62">
        <f t="shared" si="8"/>
        <v>64.599999999999994</v>
      </c>
      <c r="J286" s="62">
        <f t="shared" si="8"/>
        <v>391</v>
      </c>
      <c r="K286" s="37"/>
      <c r="L286" s="45">
        <f>SUM(L283:L284)</f>
        <v>0</v>
      </c>
    </row>
    <row r="287" spans="1:12" ht="18" customHeight="1" x14ac:dyDescent="0.25">
      <c r="A287" s="13"/>
      <c r="B287" s="13"/>
      <c r="C287" s="13" t="s">
        <v>40</v>
      </c>
      <c r="D287" s="14"/>
      <c r="E287" s="52"/>
      <c r="F287" s="28">
        <f>F272+F282+F286</f>
        <v>1925</v>
      </c>
      <c r="G287" s="64">
        <f>G272+G282+G286</f>
        <v>64.867222222222225</v>
      </c>
      <c r="H287" s="64">
        <f>H272+H282+H286</f>
        <v>66.208333333333329</v>
      </c>
      <c r="I287" s="64">
        <f>I272+I282+I286</f>
        <v>323.42055555555555</v>
      </c>
      <c r="J287" s="64">
        <f>J272+J282+J286</f>
        <v>2144.4522222222222</v>
      </c>
      <c r="K287" s="38"/>
      <c r="L287" s="46">
        <f>L272+L282+L286</f>
        <v>0</v>
      </c>
    </row>
    <row r="288" spans="1:12" ht="18" customHeight="1" x14ac:dyDescent="0.25">
      <c r="A288" s="5">
        <v>3</v>
      </c>
      <c r="B288" s="5">
        <v>4</v>
      </c>
      <c r="C288" s="5" t="s">
        <v>24</v>
      </c>
      <c r="D288" s="6" t="s">
        <v>25</v>
      </c>
      <c r="E288" s="34" t="s">
        <v>102</v>
      </c>
      <c r="F288" s="17">
        <v>250</v>
      </c>
      <c r="G288" s="65">
        <f>F288*19.5/200</f>
        <v>24.375</v>
      </c>
      <c r="H288" s="65">
        <f>F288*21.2/200</f>
        <v>26.5</v>
      </c>
      <c r="I288" s="65">
        <f>F288*17.7/200</f>
        <v>22.125</v>
      </c>
      <c r="J288" s="65">
        <f>F288*339.6/200</f>
        <v>424.5</v>
      </c>
      <c r="K288" s="36" t="s">
        <v>113</v>
      </c>
      <c r="L288" s="44"/>
    </row>
    <row r="289" spans="1:12" ht="18" customHeight="1" x14ac:dyDescent="0.25">
      <c r="A289" s="8" t="s">
        <v>26</v>
      </c>
      <c r="B289" s="8" t="s">
        <v>26</v>
      </c>
      <c r="C289" s="8" t="s">
        <v>26</v>
      </c>
      <c r="D289" s="10" t="s">
        <v>36</v>
      </c>
      <c r="E289" s="34" t="s">
        <v>65</v>
      </c>
      <c r="F289" s="17">
        <v>50</v>
      </c>
      <c r="G289" s="65">
        <f>3.2*F289/50</f>
        <v>3.2</v>
      </c>
      <c r="H289" s="65">
        <f>7.7*F289/50</f>
        <v>7.7</v>
      </c>
      <c r="I289" s="65">
        <f>19.5*F289/50</f>
        <v>19.5</v>
      </c>
      <c r="J289" s="65">
        <f>F289*160/50</f>
        <v>160</v>
      </c>
      <c r="K289" s="36" t="s">
        <v>73</v>
      </c>
      <c r="L289" s="44"/>
    </row>
    <row r="290" spans="1:12" ht="18" customHeight="1" x14ac:dyDescent="0.25">
      <c r="A290" s="8" t="s">
        <v>26</v>
      </c>
      <c r="B290" s="8" t="s">
        <v>26</v>
      </c>
      <c r="C290" s="8" t="s">
        <v>26</v>
      </c>
      <c r="D290" s="6" t="s">
        <v>27</v>
      </c>
      <c r="E290" s="34" t="s">
        <v>103</v>
      </c>
      <c r="F290" s="75">
        <v>200</v>
      </c>
      <c r="G290" s="65">
        <v>0.1</v>
      </c>
      <c r="H290" s="65">
        <v>0</v>
      </c>
      <c r="I290" s="65">
        <v>9.8000000000000007</v>
      </c>
      <c r="J290" s="65">
        <v>39</v>
      </c>
      <c r="K290" s="36" t="s">
        <v>114</v>
      </c>
      <c r="L290" s="44"/>
    </row>
    <row r="291" spans="1:12" ht="18" customHeight="1" x14ac:dyDescent="0.25">
      <c r="A291" s="8" t="s">
        <v>26</v>
      </c>
      <c r="B291" s="8" t="s">
        <v>26</v>
      </c>
      <c r="C291" s="8" t="s">
        <v>26</v>
      </c>
      <c r="D291" s="6" t="s">
        <v>37</v>
      </c>
      <c r="E291" s="34" t="s">
        <v>45</v>
      </c>
      <c r="F291" s="70">
        <v>50</v>
      </c>
      <c r="G291" s="65">
        <f>SUM(F291*1.68/30)</f>
        <v>2.8</v>
      </c>
      <c r="H291" s="65">
        <f>SUM(F291*0.33/30)</f>
        <v>0.55000000000000004</v>
      </c>
      <c r="I291" s="65">
        <f>SUM(F291*14.82/30)</f>
        <v>24.7</v>
      </c>
      <c r="J291" s="65">
        <f>SUM(F291*68.97/30)</f>
        <v>114.95</v>
      </c>
      <c r="K291" s="36" t="s">
        <v>46</v>
      </c>
      <c r="L291" s="44"/>
    </row>
    <row r="292" spans="1:12" ht="18" customHeight="1" x14ac:dyDescent="0.25">
      <c r="A292" s="8" t="s">
        <v>26</v>
      </c>
      <c r="B292" s="8" t="s">
        <v>26</v>
      </c>
      <c r="C292" s="8" t="s">
        <v>26</v>
      </c>
      <c r="D292" s="10" t="s">
        <v>31</v>
      </c>
      <c r="E292" s="34" t="s">
        <v>183</v>
      </c>
      <c r="F292" s="68">
        <v>34</v>
      </c>
      <c r="G292" s="69">
        <f>F292*3/100</f>
        <v>1.02</v>
      </c>
      <c r="H292" s="69">
        <f>F292*4.1/100</f>
        <v>1.3939999999999997</v>
      </c>
      <c r="I292" s="69">
        <f>F292*6.4/100</f>
        <v>2.1760000000000002</v>
      </c>
      <c r="J292" s="69">
        <f>F292*75/100</f>
        <v>25.5</v>
      </c>
      <c r="K292" s="36" t="s">
        <v>182</v>
      </c>
      <c r="L292" s="44"/>
    </row>
    <row r="293" spans="1:12" ht="18" customHeight="1" x14ac:dyDescent="0.25">
      <c r="A293" s="8" t="s">
        <v>26</v>
      </c>
      <c r="B293" s="8" t="s">
        <v>26</v>
      </c>
      <c r="C293" s="8" t="s">
        <v>26</v>
      </c>
      <c r="D293" s="10"/>
      <c r="E293" s="50"/>
      <c r="F293" s="25"/>
      <c r="G293" s="61"/>
      <c r="H293" s="61"/>
      <c r="I293" s="61"/>
      <c r="J293" s="61"/>
      <c r="K293" s="36"/>
      <c r="L293" s="44"/>
    </row>
    <row r="294" spans="1:12" ht="18" customHeight="1" x14ac:dyDescent="0.25">
      <c r="A294" s="11"/>
      <c r="B294" s="11"/>
      <c r="C294" s="11" t="s">
        <v>29</v>
      </c>
      <c r="D294" s="12"/>
      <c r="E294" s="51"/>
      <c r="F294" s="27">
        <f>SUM(F288:F293)</f>
        <v>584</v>
      </c>
      <c r="G294" s="62">
        <f>SUM(G288:G293)</f>
        <v>31.495000000000001</v>
      </c>
      <c r="H294" s="62">
        <f>SUM(H288:H293)</f>
        <v>36.143999999999998</v>
      </c>
      <c r="I294" s="62">
        <f>SUM(I288:I293)</f>
        <v>78.301000000000002</v>
      </c>
      <c r="J294" s="62">
        <f>SUM(J288:J293)</f>
        <v>763.95</v>
      </c>
      <c r="K294" s="37"/>
      <c r="L294" s="45">
        <f>SUM(L288:L293)</f>
        <v>0</v>
      </c>
    </row>
    <row r="295" spans="1:12" ht="18" customHeight="1" x14ac:dyDescent="0.25">
      <c r="A295" s="5">
        <v>3</v>
      </c>
      <c r="B295" s="5">
        <v>4</v>
      </c>
      <c r="C295" s="5" t="s">
        <v>30</v>
      </c>
      <c r="D295" s="6" t="s">
        <v>31</v>
      </c>
      <c r="E295" s="34" t="s">
        <v>104</v>
      </c>
      <c r="F295" s="74">
        <v>80</v>
      </c>
      <c r="G295" s="65">
        <f>F295*1/100</f>
        <v>0.8</v>
      </c>
      <c r="H295" s="65">
        <f>F295*10/100</f>
        <v>8</v>
      </c>
      <c r="I295" s="65">
        <f>F295*7.9/100</f>
        <v>6.32</v>
      </c>
      <c r="J295" s="65">
        <f>F295*125.73/100</f>
        <v>100.584</v>
      </c>
      <c r="K295" s="36" t="s">
        <v>115</v>
      </c>
      <c r="L295" s="44"/>
    </row>
    <row r="296" spans="1:12" ht="18" customHeight="1" x14ac:dyDescent="0.25">
      <c r="A296" s="8" t="s">
        <v>26</v>
      </c>
      <c r="B296" s="8" t="s">
        <v>26</v>
      </c>
      <c r="C296" s="8" t="s">
        <v>26</v>
      </c>
      <c r="D296" s="6" t="s">
        <v>32</v>
      </c>
      <c r="E296" s="34" t="s">
        <v>109</v>
      </c>
      <c r="F296" s="74">
        <v>200</v>
      </c>
      <c r="G296" s="65">
        <f>F296*1.9/250+1.6</f>
        <v>3.12</v>
      </c>
      <c r="H296" s="65">
        <f>F296*5.2/250+1.7</f>
        <v>5.86</v>
      </c>
      <c r="I296" s="65">
        <f>F296*9/250+0.6</f>
        <v>7.8</v>
      </c>
      <c r="J296" s="65">
        <f>F296*90.4/250+22</f>
        <v>94.32</v>
      </c>
      <c r="K296" s="36" t="s">
        <v>116</v>
      </c>
      <c r="L296" s="44"/>
    </row>
    <row r="297" spans="1:12" ht="18" customHeight="1" x14ac:dyDescent="0.25">
      <c r="A297" s="8" t="s">
        <v>26</v>
      </c>
      <c r="B297" s="8" t="s">
        <v>26</v>
      </c>
      <c r="C297" s="8" t="s">
        <v>26</v>
      </c>
      <c r="D297" s="6" t="s">
        <v>33</v>
      </c>
      <c r="E297" s="34" t="s">
        <v>105</v>
      </c>
      <c r="F297" s="76">
        <v>90</v>
      </c>
      <c r="G297" s="65">
        <f>19.1*F297/100</f>
        <v>17.190000000000001</v>
      </c>
      <c r="H297" s="65">
        <f>15.9*F297/100</f>
        <v>14.31</v>
      </c>
      <c r="I297" s="65">
        <f>0.2*F297/100</f>
        <v>0.18</v>
      </c>
      <c r="J297" s="65">
        <f>F297*198/90</f>
        <v>198</v>
      </c>
      <c r="K297" s="36" t="s">
        <v>117</v>
      </c>
      <c r="L297" s="44"/>
    </row>
    <row r="298" spans="1:12" ht="18" customHeight="1" x14ac:dyDescent="0.25">
      <c r="A298" s="8" t="s">
        <v>26</v>
      </c>
      <c r="B298" s="8" t="s">
        <v>26</v>
      </c>
      <c r="C298" s="8" t="s">
        <v>26</v>
      </c>
      <c r="D298" s="6" t="s">
        <v>34</v>
      </c>
      <c r="E298" s="34" t="s">
        <v>106</v>
      </c>
      <c r="F298" s="76">
        <v>170</v>
      </c>
      <c r="G298" s="65">
        <f>F298*7.1/200</f>
        <v>6.0350000000000001</v>
      </c>
      <c r="H298" s="65">
        <f>F298*4/200</f>
        <v>3.4</v>
      </c>
      <c r="I298" s="65">
        <f>F298*43.2/200</f>
        <v>36.720000000000006</v>
      </c>
      <c r="J298" s="65">
        <f>F298*237/200</f>
        <v>201.45</v>
      </c>
      <c r="K298" s="36" t="s">
        <v>118</v>
      </c>
      <c r="L298" s="44"/>
    </row>
    <row r="299" spans="1:12" ht="18" customHeight="1" x14ac:dyDescent="0.25">
      <c r="A299" s="8" t="s">
        <v>26</v>
      </c>
      <c r="B299" s="8" t="s">
        <v>26</v>
      </c>
      <c r="C299" s="8" t="s">
        <v>26</v>
      </c>
      <c r="D299" s="6" t="s">
        <v>35</v>
      </c>
      <c r="E299" s="34" t="s">
        <v>110</v>
      </c>
      <c r="F299" s="74">
        <v>200</v>
      </c>
      <c r="G299" s="65">
        <v>0.4</v>
      </c>
      <c r="H299" s="65">
        <v>0.4</v>
      </c>
      <c r="I299" s="65">
        <v>18.399999999999999</v>
      </c>
      <c r="J299" s="65">
        <v>80</v>
      </c>
      <c r="K299" s="36" t="s">
        <v>82</v>
      </c>
      <c r="L299" s="44"/>
    </row>
    <row r="300" spans="1:12" ht="18" customHeight="1" x14ac:dyDescent="0.25">
      <c r="A300" s="8" t="s">
        <v>26</v>
      </c>
      <c r="B300" s="8" t="s">
        <v>26</v>
      </c>
      <c r="C300" s="8" t="s">
        <v>26</v>
      </c>
      <c r="D300" s="6" t="s">
        <v>36</v>
      </c>
      <c r="E300" s="34" t="s">
        <v>52</v>
      </c>
      <c r="F300" s="77">
        <v>50</v>
      </c>
      <c r="G300" s="65">
        <f>SUM(F300*2.37/30)</f>
        <v>3.95</v>
      </c>
      <c r="H300" s="65">
        <f>SUM(F300*0.3/30)</f>
        <v>0.5</v>
      </c>
      <c r="I300" s="65">
        <f>SUM(F300*14.49/30)</f>
        <v>24.15</v>
      </c>
      <c r="J300" s="65">
        <f>SUM(F300*70.14/30)</f>
        <v>116.9</v>
      </c>
      <c r="K300" s="36" t="s">
        <v>46</v>
      </c>
      <c r="L300" s="44"/>
    </row>
    <row r="301" spans="1:12" ht="18" customHeight="1" x14ac:dyDescent="0.25">
      <c r="A301" s="8" t="s">
        <v>26</v>
      </c>
      <c r="B301" s="8" t="s">
        <v>26</v>
      </c>
      <c r="C301" s="8" t="s">
        <v>26</v>
      </c>
      <c r="D301" s="6" t="s">
        <v>37</v>
      </c>
      <c r="E301" s="34" t="s">
        <v>45</v>
      </c>
      <c r="F301" s="77">
        <v>50</v>
      </c>
      <c r="G301" s="65">
        <f>SUM(F301*1.68/30)</f>
        <v>2.8</v>
      </c>
      <c r="H301" s="65">
        <f>SUM(F301*0.33/30)</f>
        <v>0.55000000000000004</v>
      </c>
      <c r="I301" s="65">
        <f>SUM(F301*14.82/30)</f>
        <v>24.7</v>
      </c>
      <c r="J301" s="65">
        <f>SUM(F301*68.97/30)</f>
        <v>114.95</v>
      </c>
      <c r="K301" s="36" t="s">
        <v>46</v>
      </c>
      <c r="L301" s="44"/>
    </row>
    <row r="302" spans="1:12" ht="18" customHeight="1" x14ac:dyDescent="0.25">
      <c r="A302" s="8" t="s">
        <v>26</v>
      </c>
      <c r="B302" s="8" t="s">
        <v>26</v>
      </c>
      <c r="C302" s="8" t="s">
        <v>26</v>
      </c>
      <c r="D302" s="10"/>
      <c r="E302" s="50"/>
      <c r="F302" s="25"/>
      <c r="G302" s="61"/>
      <c r="H302" s="61"/>
      <c r="I302" s="61"/>
      <c r="J302" s="61"/>
      <c r="K302" s="36"/>
      <c r="L302" s="44"/>
    </row>
    <row r="303" spans="1:12" ht="18" customHeight="1" x14ac:dyDescent="0.25">
      <c r="A303" s="8" t="s">
        <v>26</v>
      </c>
      <c r="B303" s="8" t="s">
        <v>26</v>
      </c>
      <c r="C303" s="8" t="s">
        <v>26</v>
      </c>
      <c r="D303" s="10"/>
      <c r="E303" s="50"/>
      <c r="F303" s="25"/>
      <c r="G303" s="61"/>
      <c r="H303" s="61"/>
      <c r="I303" s="61"/>
      <c r="J303" s="61"/>
      <c r="K303" s="36"/>
      <c r="L303" s="44"/>
    </row>
    <row r="304" spans="1:12" ht="18" customHeight="1" x14ac:dyDescent="0.25">
      <c r="A304" s="11"/>
      <c r="B304" s="11"/>
      <c r="C304" s="11" t="s">
        <v>29</v>
      </c>
      <c r="D304" s="12"/>
      <c r="E304" s="51"/>
      <c r="F304" s="27">
        <f>SUM(F295:F303)</f>
        <v>840</v>
      </c>
      <c r="G304" s="62">
        <f>SUM(G295:G303)</f>
        <v>34.294999999999995</v>
      </c>
      <c r="H304" s="62">
        <f>SUM(H295:H303)</f>
        <v>33.019999999999996</v>
      </c>
      <c r="I304" s="62">
        <f>SUM(I295:I303)</f>
        <v>118.27000000000002</v>
      </c>
      <c r="J304" s="62">
        <f>SUM(J295:J303)</f>
        <v>906.20400000000006</v>
      </c>
      <c r="K304" s="37"/>
      <c r="L304" s="45">
        <f>SUM(L295:L303)</f>
        <v>0</v>
      </c>
    </row>
    <row r="305" spans="1:12" ht="18" customHeight="1" x14ac:dyDescent="0.25">
      <c r="A305" s="5">
        <v>3</v>
      </c>
      <c r="B305" s="5">
        <v>4</v>
      </c>
      <c r="C305" s="5" t="s">
        <v>38</v>
      </c>
      <c r="D305" s="6" t="s">
        <v>39</v>
      </c>
      <c r="E305" s="34" t="s">
        <v>111</v>
      </c>
      <c r="F305" s="32">
        <v>100</v>
      </c>
      <c r="G305" s="65">
        <f>F305*7.1/80</f>
        <v>8.875</v>
      </c>
      <c r="H305" s="65">
        <f>F305*14.5/80</f>
        <v>18.125</v>
      </c>
      <c r="I305" s="65">
        <f>F305*54.6/80</f>
        <v>68.25</v>
      </c>
      <c r="J305" s="65">
        <f>F305*384/80</f>
        <v>480</v>
      </c>
      <c r="K305" s="36" t="s">
        <v>72</v>
      </c>
      <c r="L305" s="44"/>
    </row>
    <row r="306" spans="1:12" ht="18" customHeight="1" x14ac:dyDescent="0.25">
      <c r="A306" s="8" t="s">
        <v>26</v>
      </c>
      <c r="B306" s="8" t="s">
        <v>26</v>
      </c>
      <c r="C306" s="8" t="s">
        <v>26</v>
      </c>
      <c r="D306" s="6" t="s">
        <v>35</v>
      </c>
      <c r="E306" s="50" t="s">
        <v>112</v>
      </c>
      <c r="F306" s="25">
        <v>200</v>
      </c>
      <c r="G306" s="61">
        <v>0</v>
      </c>
      <c r="H306" s="61">
        <v>0</v>
      </c>
      <c r="I306" s="61">
        <v>12</v>
      </c>
      <c r="J306" s="61">
        <v>48</v>
      </c>
      <c r="K306" s="36" t="s">
        <v>119</v>
      </c>
      <c r="L306" s="44"/>
    </row>
    <row r="307" spans="1:12" ht="18" customHeight="1" x14ac:dyDescent="0.25">
      <c r="A307" s="11"/>
      <c r="B307" s="11"/>
      <c r="C307" s="11" t="s">
        <v>29</v>
      </c>
      <c r="D307" s="12"/>
      <c r="E307" s="51" t="s">
        <v>108</v>
      </c>
      <c r="F307" s="27">
        <f>SUM(F305:F306)</f>
        <v>300</v>
      </c>
      <c r="G307" s="62">
        <f t="shared" ref="G307:J307" si="9">SUM(G305:G306)</f>
        <v>8.875</v>
      </c>
      <c r="H307" s="62">
        <f t="shared" si="9"/>
        <v>18.125</v>
      </c>
      <c r="I307" s="62">
        <f t="shared" si="9"/>
        <v>80.25</v>
      </c>
      <c r="J307" s="62">
        <f t="shared" si="9"/>
        <v>528</v>
      </c>
      <c r="K307" s="37"/>
      <c r="L307" s="45">
        <f>SUM(L305:L306)</f>
        <v>0</v>
      </c>
    </row>
    <row r="308" spans="1:12" ht="18" customHeight="1" x14ac:dyDescent="0.25">
      <c r="A308" s="13"/>
      <c r="B308" s="13"/>
      <c r="C308" s="13" t="s">
        <v>40</v>
      </c>
      <c r="D308" s="14"/>
      <c r="E308" s="52"/>
      <c r="F308" s="28">
        <f>F294+F304+F307</f>
        <v>1724</v>
      </c>
      <c r="G308" s="64">
        <f>G294+G304+G307</f>
        <v>74.664999999999992</v>
      </c>
      <c r="H308" s="64">
        <f>H294+H304+H307</f>
        <v>87.288999999999987</v>
      </c>
      <c r="I308" s="64">
        <f>I294+I304+I307</f>
        <v>276.82100000000003</v>
      </c>
      <c r="J308" s="64">
        <f>J294+J304+J307</f>
        <v>2198.154</v>
      </c>
      <c r="K308" s="38"/>
      <c r="L308" s="46">
        <f>L294+L304+L307</f>
        <v>0</v>
      </c>
    </row>
    <row r="309" spans="1:12" ht="18" customHeight="1" x14ac:dyDescent="0.25">
      <c r="A309" s="5">
        <v>3</v>
      </c>
      <c r="B309" s="5">
        <v>5</v>
      </c>
      <c r="C309" s="5" t="s">
        <v>24</v>
      </c>
      <c r="D309" s="6" t="s">
        <v>25</v>
      </c>
      <c r="E309" s="34" t="s">
        <v>120</v>
      </c>
      <c r="F309" s="74">
        <v>250</v>
      </c>
      <c r="G309" s="69">
        <f>F309*19.1/250</f>
        <v>19.100000000000001</v>
      </c>
      <c r="H309" s="69">
        <f>F309*23.05/250</f>
        <v>23.05</v>
      </c>
      <c r="I309" s="69">
        <f>F309*23.8/250</f>
        <v>23.8</v>
      </c>
      <c r="J309" s="69">
        <f>F309*379.05/250</f>
        <v>379.05</v>
      </c>
      <c r="K309" s="36" t="s">
        <v>126</v>
      </c>
      <c r="L309" s="44"/>
    </row>
    <row r="310" spans="1:12" ht="18" customHeight="1" x14ac:dyDescent="0.25">
      <c r="A310" s="8" t="s">
        <v>26</v>
      </c>
      <c r="B310" s="8" t="s">
        <v>26</v>
      </c>
      <c r="C310" s="8" t="s">
        <v>26</v>
      </c>
      <c r="D310" s="10" t="s">
        <v>36</v>
      </c>
      <c r="E310" s="34" t="s">
        <v>65</v>
      </c>
      <c r="F310" s="32">
        <v>50</v>
      </c>
      <c r="G310" s="69">
        <f>F310*3.2/50</f>
        <v>3.2</v>
      </c>
      <c r="H310" s="69">
        <f>F310*7.7/50</f>
        <v>7.7</v>
      </c>
      <c r="I310" s="69">
        <f>F310*19.5/50</f>
        <v>19.5</v>
      </c>
      <c r="J310" s="69">
        <f>F310*160/50</f>
        <v>160</v>
      </c>
      <c r="K310" s="36" t="s">
        <v>73</v>
      </c>
      <c r="L310" s="44"/>
    </row>
    <row r="311" spans="1:12" ht="18" customHeight="1" x14ac:dyDescent="0.25">
      <c r="A311" s="8" t="s">
        <v>26</v>
      </c>
      <c r="B311" s="8" t="s">
        <v>26</v>
      </c>
      <c r="C311" s="8" t="s">
        <v>26</v>
      </c>
      <c r="D311" s="6" t="s">
        <v>27</v>
      </c>
      <c r="E311" s="78" t="s">
        <v>43</v>
      </c>
      <c r="F311" s="79">
        <v>200</v>
      </c>
      <c r="G311" s="69">
        <f>F311*3.1/200</f>
        <v>3.1</v>
      </c>
      <c r="H311" s="69">
        <f>F311*3.2/200</f>
        <v>3.2</v>
      </c>
      <c r="I311" s="69">
        <f>F311*14.4/200</f>
        <v>14.4</v>
      </c>
      <c r="J311" s="69">
        <f>F311*99/200</f>
        <v>99</v>
      </c>
      <c r="K311" s="36" t="s">
        <v>184</v>
      </c>
      <c r="L311" s="44"/>
    </row>
    <row r="312" spans="1:12" ht="18" customHeight="1" x14ac:dyDescent="0.25">
      <c r="A312" s="8" t="s">
        <v>26</v>
      </c>
      <c r="B312" s="8" t="s">
        <v>26</v>
      </c>
      <c r="C312" s="8" t="s">
        <v>26</v>
      </c>
      <c r="D312" s="6" t="s">
        <v>37</v>
      </c>
      <c r="E312" s="34" t="s">
        <v>45</v>
      </c>
      <c r="F312" s="77">
        <v>50</v>
      </c>
      <c r="G312" s="65">
        <f>SUM(F312*1.68/30)</f>
        <v>2.8</v>
      </c>
      <c r="H312" s="65">
        <f>SUM(F312*0.33/30)</f>
        <v>0.55000000000000004</v>
      </c>
      <c r="I312" s="65">
        <f>SUM(F312*14.82/30)</f>
        <v>24.7</v>
      </c>
      <c r="J312" s="65">
        <f>SUM(F312*68.97/30)</f>
        <v>114.95</v>
      </c>
      <c r="K312" s="36" t="s">
        <v>46</v>
      </c>
      <c r="L312" s="44"/>
    </row>
    <row r="313" spans="1:12" ht="18" customHeight="1" x14ac:dyDescent="0.25">
      <c r="A313" s="8" t="s">
        <v>26</v>
      </c>
      <c r="B313" s="8" t="s">
        <v>26</v>
      </c>
      <c r="C313" s="8" t="s">
        <v>26</v>
      </c>
      <c r="D313" s="10"/>
      <c r="E313" s="50"/>
      <c r="F313" s="25"/>
      <c r="G313" s="61"/>
      <c r="H313" s="61"/>
      <c r="I313" s="61"/>
      <c r="J313" s="61"/>
      <c r="K313" s="36"/>
      <c r="L313" s="44"/>
    </row>
    <row r="314" spans="1:12" ht="18" customHeight="1" x14ac:dyDescent="0.25">
      <c r="A314" s="8" t="s">
        <v>26</v>
      </c>
      <c r="B314" s="8" t="s">
        <v>26</v>
      </c>
      <c r="C314" s="8" t="s">
        <v>26</v>
      </c>
      <c r="D314" s="10"/>
      <c r="E314" s="50"/>
      <c r="F314" s="25"/>
      <c r="G314" s="61"/>
      <c r="H314" s="61"/>
      <c r="I314" s="61"/>
      <c r="J314" s="61"/>
      <c r="K314" s="36"/>
      <c r="L314" s="44"/>
    </row>
    <row r="315" spans="1:12" ht="18" customHeight="1" x14ac:dyDescent="0.25">
      <c r="A315" s="11"/>
      <c r="B315" s="11"/>
      <c r="C315" s="11" t="s">
        <v>29</v>
      </c>
      <c r="D315" s="12"/>
      <c r="E315" s="51"/>
      <c r="F315" s="27">
        <f>SUM(F309:F314)</f>
        <v>550</v>
      </c>
      <c r="G315" s="62">
        <f>SUM(G309:G314)</f>
        <v>28.200000000000003</v>
      </c>
      <c r="H315" s="62">
        <f>SUM(H309:H314)</f>
        <v>34.5</v>
      </c>
      <c r="I315" s="62">
        <f>SUM(I309:I314)</f>
        <v>82.399999999999991</v>
      </c>
      <c r="J315" s="62">
        <f>SUM(J309:J314)</f>
        <v>753</v>
      </c>
      <c r="K315" s="37"/>
      <c r="L315" s="45">
        <f>SUM(L309:L314)</f>
        <v>0</v>
      </c>
    </row>
    <row r="316" spans="1:12" ht="18" customHeight="1" x14ac:dyDescent="0.25">
      <c r="A316" s="5">
        <v>3</v>
      </c>
      <c r="B316" s="5">
        <v>5</v>
      </c>
      <c r="C316" s="5" t="s">
        <v>30</v>
      </c>
      <c r="D316" s="6" t="s">
        <v>31</v>
      </c>
      <c r="E316" s="34" t="s">
        <v>121</v>
      </c>
      <c r="F316" s="74">
        <v>60</v>
      </c>
      <c r="G316" s="65">
        <f>F316*1.6/100</f>
        <v>0.96</v>
      </c>
      <c r="H316" s="65">
        <f>F316*6/100</f>
        <v>3.6</v>
      </c>
      <c r="I316" s="65">
        <f>F316*8.4/100</f>
        <v>5.04</v>
      </c>
      <c r="J316" s="65">
        <f>F316*97/100</f>
        <v>58.2</v>
      </c>
      <c r="K316" s="36" t="s">
        <v>127</v>
      </c>
      <c r="L316" s="44"/>
    </row>
    <row r="317" spans="1:12" ht="18" customHeight="1" x14ac:dyDescent="0.25">
      <c r="A317" s="8" t="s">
        <v>26</v>
      </c>
      <c r="B317" s="8" t="s">
        <v>26</v>
      </c>
      <c r="C317" s="8" t="s">
        <v>26</v>
      </c>
      <c r="D317" s="6" t="s">
        <v>32</v>
      </c>
      <c r="E317" s="34" t="s">
        <v>122</v>
      </c>
      <c r="F317" s="74">
        <v>200</v>
      </c>
      <c r="G317" s="65">
        <f>F317*2/250+1.6</f>
        <v>3.2</v>
      </c>
      <c r="H317" s="65">
        <f>F317*6.9/250+1.7</f>
        <v>7.22</v>
      </c>
      <c r="I317" s="65">
        <f>F317*11/250</f>
        <v>8.8000000000000007</v>
      </c>
      <c r="J317" s="65">
        <f>F317*114/250+22</f>
        <v>113.2</v>
      </c>
      <c r="K317" s="36" t="s">
        <v>128</v>
      </c>
      <c r="L317" s="44"/>
    </row>
    <row r="318" spans="1:12" ht="18" customHeight="1" x14ac:dyDescent="0.25">
      <c r="A318" s="8" t="s">
        <v>26</v>
      </c>
      <c r="B318" s="8" t="s">
        <v>26</v>
      </c>
      <c r="C318" s="8" t="s">
        <v>26</v>
      </c>
      <c r="D318" s="6" t="s">
        <v>33</v>
      </c>
      <c r="E318" s="34" t="s">
        <v>123</v>
      </c>
      <c r="F318" s="74">
        <v>250</v>
      </c>
      <c r="G318" s="65">
        <f>F318*18.5/250</f>
        <v>18.5</v>
      </c>
      <c r="H318" s="65">
        <f>F318*20.6/250</f>
        <v>20.6</v>
      </c>
      <c r="I318" s="65">
        <f>F318*43.2/250</f>
        <v>43.2</v>
      </c>
      <c r="J318" s="65">
        <f>F318*432.2/250</f>
        <v>432.2</v>
      </c>
      <c r="K318" s="36" t="s">
        <v>129</v>
      </c>
      <c r="L318" s="44"/>
    </row>
    <row r="319" spans="1:12" ht="18" customHeight="1" x14ac:dyDescent="0.25">
      <c r="A319" s="8" t="s">
        <v>26</v>
      </c>
      <c r="B319" s="8" t="s">
        <v>26</v>
      </c>
      <c r="C319" s="8" t="s">
        <v>26</v>
      </c>
      <c r="D319" s="6" t="s">
        <v>35</v>
      </c>
      <c r="E319" s="34" t="s">
        <v>124</v>
      </c>
      <c r="F319" s="77">
        <v>200</v>
      </c>
      <c r="G319" s="71">
        <v>0.2</v>
      </c>
      <c r="H319" s="71">
        <v>0.1</v>
      </c>
      <c r="I319" s="71">
        <v>13.1</v>
      </c>
      <c r="J319" s="71">
        <v>54</v>
      </c>
      <c r="K319" s="36" t="s">
        <v>119</v>
      </c>
      <c r="L319" s="44"/>
    </row>
    <row r="320" spans="1:12" ht="18" customHeight="1" x14ac:dyDescent="0.25">
      <c r="A320" s="8" t="s">
        <v>26</v>
      </c>
      <c r="B320" s="8" t="s">
        <v>26</v>
      </c>
      <c r="C320" s="8" t="s">
        <v>26</v>
      </c>
      <c r="D320" s="6" t="s">
        <v>36</v>
      </c>
      <c r="E320" s="34" t="s">
        <v>52</v>
      </c>
      <c r="F320" s="77">
        <v>50</v>
      </c>
      <c r="G320" s="65">
        <f>SUM(F320*2.37/30)</f>
        <v>3.95</v>
      </c>
      <c r="H320" s="65">
        <f>SUM(F320*0.3/30)</f>
        <v>0.5</v>
      </c>
      <c r="I320" s="65">
        <f>SUM(F320*14.49/30)</f>
        <v>24.15</v>
      </c>
      <c r="J320" s="65">
        <f>SUM(F320*70.14/30)</f>
        <v>116.9</v>
      </c>
      <c r="K320" s="36" t="s">
        <v>46</v>
      </c>
      <c r="L320" s="44"/>
    </row>
    <row r="321" spans="1:12" ht="18" customHeight="1" x14ac:dyDescent="0.25">
      <c r="A321" s="8" t="s">
        <v>26</v>
      </c>
      <c r="B321" s="8" t="s">
        <v>26</v>
      </c>
      <c r="C321" s="8" t="s">
        <v>26</v>
      </c>
      <c r="D321" s="6" t="s">
        <v>37</v>
      </c>
      <c r="E321" s="34" t="s">
        <v>45</v>
      </c>
      <c r="F321" s="77">
        <v>50</v>
      </c>
      <c r="G321" s="65">
        <f>SUM(F321*1.68/30)</f>
        <v>2.8</v>
      </c>
      <c r="H321" s="65">
        <f>SUM(F321*0.33/30)</f>
        <v>0.55000000000000004</v>
      </c>
      <c r="I321" s="65">
        <f>SUM(F321*14.82/30)</f>
        <v>24.7</v>
      </c>
      <c r="J321" s="65">
        <f>SUM(F321*68.97/30)</f>
        <v>114.95</v>
      </c>
      <c r="K321" s="36" t="s">
        <v>46</v>
      </c>
      <c r="L321" s="44"/>
    </row>
    <row r="322" spans="1:12" ht="18" customHeight="1" x14ac:dyDescent="0.25">
      <c r="A322" s="8" t="s">
        <v>26</v>
      </c>
      <c r="B322" s="8" t="s">
        <v>26</v>
      </c>
      <c r="C322" s="8" t="s">
        <v>26</v>
      </c>
      <c r="D322" s="10"/>
      <c r="E322" s="50"/>
      <c r="F322" s="25"/>
      <c r="G322" s="61"/>
      <c r="H322" s="61"/>
      <c r="I322" s="61"/>
      <c r="J322" s="61"/>
      <c r="K322" s="36"/>
      <c r="L322" s="44"/>
    </row>
    <row r="323" spans="1:12" ht="18" customHeight="1" x14ac:dyDescent="0.25">
      <c r="A323" s="8" t="s">
        <v>26</v>
      </c>
      <c r="B323" s="8" t="s">
        <v>26</v>
      </c>
      <c r="C323" s="8" t="s">
        <v>26</v>
      </c>
      <c r="D323" s="10"/>
      <c r="E323" s="50"/>
      <c r="F323" s="25"/>
      <c r="G323" s="61"/>
      <c r="H323" s="61"/>
      <c r="I323" s="61"/>
      <c r="J323" s="61"/>
      <c r="K323" s="36"/>
      <c r="L323" s="44"/>
    </row>
    <row r="324" spans="1:12" ht="18" customHeight="1" x14ac:dyDescent="0.25">
      <c r="A324" s="11"/>
      <c r="B324" s="11"/>
      <c r="C324" s="11" t="s">
        <v>29</v>
      </c>
      <c r="D324" s="12"/>
      <c r="E324" s="51"/>
      <c r="F324" s="27">
        <f>SUM(F316:F323)</f>
        <v>810</v>
      </c>
      <c r="G324" s="62">
        <f>SUM(G316:G323)</f>
        <v>29.61</v>
      </c>
      <c r="H324" s="62">
        <f>SUM(H316:H323)</f>
        <v>32.57</v>
      </c>
      <c r="I324" s="62">
        <f>SUM(I316:I323)</f>
        <v>118.99</v>
      </c>
      <c r="J324" s="62">
        <f>SUM(J316:J323)</f>
        <v>889.45</v>
      </c>
      <c r="K324" s="37"/>
      <c r="L324" s="45">
        <f>SUM(L316:L323)</f>
        <v>0</v>
      </c>
    </row>
    <row r="325" spans="1:12" ht="18" customHeight="1" x14ac:dyDescent="0.25">
      <c r="A325" s="5">
        <v>3</v>
      </c>
      <c r="B325" s="5">
        <v>5</v>
      </c>
      <c r="C325" s="5" t="s">
        <v>38</v>
      </c>
      <c r="D325" s="6" t="s">
        <v>39</v>
      </c>
      <c r="E325" s="34" t="s">
        <v>125</v>
      </c>
      <c r="F325" s="74">
        <v>80</v>
      </c>
      <c r="G325" s="65">
        <f>F325*4.6/60</f>
        <v>6.1333333333333337</v>
      </c>
      <c r="H325" s="65">
        <f>F325*4.4/60</f>
        <v>5.8666666666666663</v>
      </c>
      <c r="I325" s="65">
        <f>F325*36/60</f>
        <v>48</v>
      </c>
      <c r="J325" s="65">
        <f>F325*204/60</f>
        <v>272</v>
      </c>
      <c r="K325" s="36" t="s">
        <v>130</v>
      </c>
      <c r="L325" s="44"/>
    </row>
    <row r="326" spans="1:12" ht="18" customHeight="1" x14ac:dyDescent="0.25">
      <c r="A326" s="8" t="s">
        <v>26</v>
      </c>
      <c r="B326" s="8" t="s">
        <v>26</v>
      </c>
      <c r="C326" s="8" t="s">
        <v>26</v>
      </c>
      <c r="D326" s="6" t="s">
        <v>35</v>
      </c>
      <c r="E326" s="34" t="s">
        <v>107</v>
      </c>
      <c r="F326" s="32">
        <v>200</v>
      </c>
      <c r="G326" s="59">
        <v>0.4</v>
      </c>
      <c r="H326" s="59">
        <v>0.4</v>
      </c>
      <c r="I326" s="59">
        <v>18.399999999999999</v>
      </c>
      <c r="J326" s="59">
        <v>80</v>
      </c>
      <c r="K326" s="36" t="s">
        <v>82</v>
      </c>
      <c r="L326" s="44"/>
    </row>
    <row r="327" spans="1:12" ht="18" customHeight="1" x14ac:dyDescent="0.25">
      <c r="A327" s="8"/>
      <c r="B327" s="8"/>
      <c r="C327" s="8"/>
      <c r="D327" s="6" t="s">
        <v>28</v>
      </c>
      <c r="E327" s="50" t="s">
        <v>60</v>
      </c>
      <c r="F327" s="25">
        <v>100</v>
      </c>
      <c r="G327" s="61">
        <v>0.4</v>
      </c>
      <c r="H327" s="61">
        <v>0.4</v>
      </c>
      <c r="I327" s="61">
        <v>9.8000000000000007</v>
      </c>
      <c r="J327" s="61">
        <v>47</v>
      </c>
      <c r="K327" s="36" t="s">
        <v>46</v>
      </c>
      <c r="L327" s="44"/>
    </row>
    <row r="328" spans="1:12" x14ac:dyDescent="0.25">
      <c r="A328" s="11"/>
      <c r="B328" s="11"/>
      <c r="C328" s="11" t="s">
        <v>29</v>
      </c>
      <c r="D328" s="12"/>
      <c r="E328" s="51"/>
      <c r="F328" s="27">
        <f>SUM(F325:F327)</f>
        <v>380</v>
      </c>
      <c r="G328" s="62">
        <f t="shared" ref="G328:J328" si="10">SUM(G325:G327)</f>
        <v>6.9333333333333345</v>
      </c>
      <c r="H328" s="62">
        <f t="shared" si="10"/>
        <v>6.666666666666667</v>
      </c>
      <c r="I328" s="62">
        <f t="shared" si="10"/>
        <v>76.2</v>
      </c>
      <c r="J328" s="62">
        <f t="shared" si="10"/>
        <v>399</v>
      </c>
      <c r="K328" s="37"/>
      <c r="L328" s="45">
        <f>SUM(L325:L326)</f>
        <v>0</v>
      </c>
    </row>
    <row r="329" spans="1:12" x14ac:dyDescent="0.25">
      <c r="A329" s="13"/>
      <c r="B329" s="13"/>
      <c r="C329" s="13" t="s">
        <v>40</v>
      </c>
      <c r="D329" s="14"/>
      <c r="E329" s="52"/>
      <c r="F329" s="28">
        <f>F315+F324+F328</f>
        <v>1740</v>
      </c>
      <c r="G329" s="64">
        <f>G315+G324+G328</f>
        <v>64.743333333333339</v>
      </c>
      <c r="H329" s="64">
        <f>H315+H324+H328</f>
        <v>73.736666666666665</v>
      </c>
      <c r="I329" s="64">
        <f>I315+I324+I328</f>
        <v>277.58999999999997</v>
      </c>
      <c r="J329" s="64">
        <f>J315+J324+J328</f>
        <v>2041.45</v>
      </c>
      <c r="K329" s="38"/>
      <c r="L329" s="46">
        <f>L315+L324+L328</f>
        <v>0</v>
      </c>
    </row>
    <row r="330" spans="1:12" x14ac:dyDescent="0.25">
      <c r="A330" s="21"/>
      <c r="B330" s="21"/>
      <c r="C330" s="21" t="s">
        <v>41</v>
      </c>
      <c r="D330" s="22"/>
      <c r="E330" s="55"/>
      <c r="F330" s="30">
        <f>(F28+F49+F72+F93+F114+F136+F157+F179+F199+F221+F243+F264+F287+F308+F329)/(IF(F28=0,0,1)+IF(F49=0,0,1)+IF(F72=0,0,1)+IF(F93=0,0,1)+IF(F114=0,0,1)+IF(F136=0,0,1)+IF(F157=0,0,1)+IF(F179=0,0,1)+IF(F199=0,0,1)+IF(F221=0,0,1)+IF(F243=0,0,1)+IF(F264=0,0,1)+IF(F287=0,0,1)+IF(F308=0,0,1)+IF(F329=0,0,1))</f>
        <v>1797.9333333333334</v>
      </c>
      <c r="G330" s="67">
        <f>(G28+G49+G72+G93+G114+G136+G157+G179+G199+G221+G243+G264+G287+G308+G329)/(IF(F28=0,0,1)+IF(F49=0,0,1)+IF(F72=0,0,1)+IF(F93=0,0,1)+IF(F114=0,0,1)+IF(F136=0,0,1)+IF(F157=0,0,1)+IF(F179=0,0,1)+IF(F199=0,0,1)+IF(F221=0,0,1)+IF(F243=0,0,1)+IF(F264=0,0,1)+IF(F287=0,0,1)+IF(F308=0,0,1)+IF(F329=0,0,1))</f>
        <v>69.686033048433046</v>
      </c>
      <c r="H330" s="67">
        <f>(H28+H49+H72+H93+H114+H136+H157+H179+H199+H221+H243+H264+H287+H308+H329)/(IF(F28=0,0,1)+IF(F49=0,0,1)+IF(F72=0,0,1)+IF(F93=0,0,1)+IF(F114=0,0,1)+IF(F136=0,0,1)+IF(F157=0,0,1)+IF(F179=0,0,1)+IF(F199=0,0,1)+IF(F221=0,0,1)+IF(F243=0,0,1)+IF(F264=0,0,1)+IF(F287=0,0,1)+IF(F308=0,0,1)+IF(F329=0,0,1))</f>
        <v>74.107652991452994</v>
      </c>
      <c r="I330" s="67">
        <f>(I28+I49+I72+I93+I114+I136+I157+I179+I199+I221+I243+I264+I287+I308+I329)/(IF(F28=0,0,1)+IF(F49=0,0,1)+IF(F72=0,0,1)+IF(F93=0,0,1)+IF(F114=0,0,1)+IF(F136=0,0,1)+IF(F157=0,0,1)+IF(F179=0,0,1)+IF(F199=0,0,1)+IF(F221=0,0,1)+IF(F243=0,0,1)+IF(F264=0,0,1)+IF(F287=0,0,1)+IF(F308=0,0,1)+IF(F329=0,0,1))</f>
        <v>295.22251851851848</v>
      </c>
      <c r="J330" s="67">
        <f>(J28+J49+J72+J93+J114+J136+J157+J179+J199+J221+J243+J264+J287+J308+J329)/(IF(F28=0,0,1)+IF(F49=0,0,1)+IF(F72=0,0,1)+IF(F93=0,0,1)+IF(F114=0,0,1)+IF(F136=0,0,1)+IF(F157=0,0,1)+IF(F179=0,0,1)+IF(F199=0,0,1)+IF(F221=0,0,1)+IF(F243=0,0,1)+IF(F264=0,0,1)+IF(F287=0,0,1)+IF(F308=0,0,1)+IF(F329=0,0,1))</f>
        <v>2135.0209555555557</v>
      </c>
      <c r="K330" s="39"/>
      <c r="L330" s="47">
        <f>(L28+L49+L72+L93+L114+L136+L157+L179+L199+L221+L242+L263+L286+L307+L328)/(IF(F28=0,0,1)+IF(F49=0,0,1)+IF(F72=0,0,1)+IF(F93=0,0,1)+IF(F114=0,0,1)+IF(F136=0,0,1)+IF(F157=0,0,1)+IF(F179=0,0,1)+IF(F199=0,0,1)+IF(F221=0,0,1)+IF(F2429,0,1)+IF(F263=0,0,1)+IF(F286=0,0,1)+IF(F307=0,0,1)+IF(F328=0,0,1))</f>
        <v>0</v>
      </c>
    </row>
  </sheetData>
  <mergeCells count="3">
    <mergeCell ref="C1:E1"/>
    <mergeCell ref="H1:K1"/>
    <mergeCell ref="H2:K2"/>
  </mergeCells>
  <pageMargins left="0.7" right="0.7" top="0.75" bottom="0.75" header="0.3" footer="0.3"/>
  <pageSetup scale="87" orientation="landscape" horizontalDpi="4294967295" verticalDpi="4294967295" r:id="rId1"/>
  <rowBreaks count="14" manualBreakCount="14">
    <brk id="28" max="16383" man="1"/>
    <brk id="49" max="16383" man="1"/>
    <brk id="72" max="16383" man="1"/>
    <brk id="93" max="16383" man="1"/>
    <brk id="114" max="16383" man="1"/>
    <brk id="136" max="16383" man="1"/>
    <brk id="157" max="16383" man="1"/>
    <brk id="179" max="16383" man="1"/>
    <brk id="199" max="16383" man="1"/>
    <brk id="221" max="16383" man="1"/>
    <brk id="243" max="16383" man="1"/>
    <brk id="264" max="16383" man="1"/>
    <brk id="287" max="16383" man="1"/>
    <brk id="3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2026-06-03T05:09:52Z</dcterms:created>
  <dcterms:modified xsi:type="dcterms:W3CDTF">2026-06-04T10:08:24Z</dcterms:modified>
  <cp:category/>
</cp:coreProperties>
</file>